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-my.sharepoint.com/personal/richard_pearson2_nhs_net/Documents/Documents/dickyricky/Medicine/Charts/"/>
    </mc:Choice>
  </mc:AlternateContent>
  <xr:revisionPtr revIDLastSave="129" documentId="13_ncr:1_{15F5D208-530F-4933-A9DC-EE7E1C571179}" xr6:coauthVersionLast="47" xr6:coauthVersionMax="47" xr10:uidLastSave="{6EB03DF3-2095-DE4F-BCE2-11467AB02F92}"/>
  <workbookProtection lockWindows="1"/>
  <bookViews>
    <workbookView showHorizontalScroll="0" showVerticalScroll="0" xWindow="-120" yWindow="-120" windowWidth="24240" windowHeight="17640" activeTab="1" xr2:uid="{00000000-000D-0000-FFFF-FFFF00000000}"/>
  </bookViews>
  <sheets>
    <sheet name="Parvolex" sheetId="4" r:id="rId1"/>
    <sheet name="Parvolex SNAP" sheetId="14" r:id="rId2"/>
    <sheet name="Adrenalin" sheetId="1" r:id="rId3"/>
    <sheet name="Dobutamine" sheetId="2" r:id="rId4"/>
    <sheet name="Salbutamol" sheetId="10" r:id="rId5"/>
    <sheet name="APLS" sheetId="7" r:id="rId6"/>
    <sheet name="Paed Stat Doses" sheetId="6" r:id="rId7"/>
    <sheet name="Anaphylaxis" sheetId="13" r:id="rId8"/>
    <sheet name="Paed Convulsion Drugs" sheetId="8" r:id="rId9"/>
    <sheet name="Paed vitals" sheetId="5" r:id="rId10"/>
    <sheet name="Intranasal" sheetId="11" r:id="rId11"/>
    <sheet name="LA" sheetId="9" r:id="rId12"/>
    <sheet name="Calculator" sheetId="3" r:id="rId13"/>
    <sheet name="Pred" sheetId="12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C8" i="3"/>
  <c r="C6" i="3"/>
  <c r="G13" i="14"/>
  <c r="D13" i="14"/>
  <c r="E10" i="14"/>
  <c r="D7" i="14"/>
  <c r="E7" i="14"/>
  <c r="D6" i="14"/>
  <c r="E6" i="14"/>
  <c r="H7" i="14"/>
  <c r="I7" i="14"/>
  <c r="H13" i="14"/>
  <c r="H6" i="14"/>
  <c r="G12" i="14"/>
  <c r="I12" i="14"/>
  <c r="I6" i="14"/>
  <c r="C15" i="11"/>
  <c r="C11" i="11"/>
  <c r="C7" i="11"/>
  <c r="C6" i="11"/>
  <c r="C5" i="11"/>
  <c r="H12" i="14"/>
  <c r="I13" i="14"/>
  <c r="E11" i="11"/>
  <c r="G11" i="11"/>
  <c r="E7" i="11"/>
  <c r="G7" i="11"/>
  <c r="E6" i="11"/>
  <c r="G6" i="11"/>
  <c r="D8" i="10"/>
  <c r="D7" i="10"/>
  <c r="D3" i="12"/>
  <c r="D4" i="12"/>
  <c r="D5" i="12"/>
  <c r="D6" i="12"/>
  <c r="D7" i="12"/>
  <c r="D2" i="12"/>
  <c r="B2" i="12"/>
  <c r="A3" i="12"/>
  <c r="B3" i="12"/>
  <c r="A4" i="12"/>
  <c r="B4" i="12"/>
  <c r="A5" i="12"/>
  <c r="B5" i="12"/>
  <c r="A6" i="12"/>
  <c r="B6" i="12"/>
  <c r="A7" i="12"/>
  <c r="B7" i="12"/>
  <c r="F3" i="12"/>
  <c r="F4" i="12"/>
  <c r="F5" i="12"/>
  <c r="F6" i="12"/>
  <c r="F7" i="12"/>
  <c r="F2" i="12"/>
  <c r="E8" i="12"/>
  <c r="D17" i="6"/>
  <c r="D15" i="6"/>
  <c r="F15" i="6"/>
  <c r="D14" i="6"/>
  <c r="F14" i="6"/>
  <c r="D7" i="6"/>
  <c r="F7" i="6"/>
  <c r="D6" i="6"/>
  <c r="F6" i="6"/>
  <c r="C15" i="6"/>
  <c r="C16" i="8"/>
  <c r="H16" i="8"/>
  <c r="C15" i="8"/>
  <c r="H15" i="8"/>
  <c r="C14" i="8"/>
  <c r="G14" i="8"/>
  <c r="C13" i="8"/>
  <c r="H13" i="8"/>
  <c r="C12" i="8"/>
  <c r="H12" i="8"/>
  <c r="C11" i="8"/>
  <c r="H11" i="8"/>
  <c r="C10" i="8"/>
  <c r="G10" i="8"/>
  <c r="C9" i="8"/>
  <c r="D9" i="8"/>
  <c r="C8" i="8"/>
  <c r="D8" i="8"/>
  <c r="C7" i="8"/>
  <c r="F7" i="8"/>
  <c r="C6" i="8"/>
  <c r="G6" i="8"/>
  <c r="C5" i="8"/>
  <c r="F5" i="8"/>
  <c r="E12" i="3"/>
  <c r="E13" i="3"/>
  <c r="E14" i="3"/>
  <c r="E15" i="3"/>
  <c r="E16" i="3"/>
  <c r="E17" i="3"/>
  <c r="E18" i="3"/>
  <c r="E19" i="3"/>
  <c r="E20" i="3"/>
  <c r="E21" i="3"/>
  <c r="E22" i="3"/>
  <c r="E11" i="3"/>
  <c r="D12" i="3"/>
  <c r="D13" i="3"/>
  <c r="D14" i="3"/>
  <c r="D15" i="3"/>
  <c r="D16" i="3"/>
  <c r="D17" i="3"/>
  <c r="D18" i="3"/>
  <c r="D19" i="3"/>
  <c r="D20" i="3"/>
  <c r="D21" i="3"/>
  <c r="D22" i="3"/>
  <c r="D11" i="3"/>
  <c r="C12" i="3"/>
  <c r="C13" i="3"/>
  <c r="C14" i="3"/>
  <c r="C15" i="3"/>
  <c r="C16" i="3"/>
  <c r="C17" i="3"/>
  <c r="C18" i="3"/>
  <c r="C19" i="3"/>
  <c r="C20" i="3"/>
  <c r="C21" i="3"/>
  <c r="C22" i="3"/>
  <c r="C11" i="3"/>
  <c r="K14" i="7"/>
  <c r="C16" i="7"/>
  <c r="K16" i="7"/>
  <c r="C15" i="7"/>
  <c r="J15" i="7"/>
  <c r="C14" i="7"/>
  <c r="C13" i="7"/>
  <c r="I13" i="7"/>
  <c r="J13" i="7"/>
  <c r="C12" i="7"/>
  <c r="K12" i="7"/>
  <c r="C11" i="7"/>
  <c r="K11" i="7"/>
  <c r="F11" i="7"/>
  <c r="C10" i="7"/>
  <c r="F10" i="7"/>
  <c r="C9" i="7"/>
  <c r="K9" i="7"/>
  <c r="C8" i="7"/>
  <c r="K8" i="7"/>
  <c r="C7" i="7"/>
  <c r="K7" i="7"/>
  <c r="C6" i="7"/>
  <c r="J6" i="7"/>
  <c r="C5" i="7"/>
  <c r="K5" i="7"/>
  <c r="F14" i="7"/>
  <c r="D6" i="7"/>
  <c r="D7" i="7"/>
  <c r="D8" i="7"/>
  <c r="D9" i="7"/>
  <c r="D10" i="7"/>
  <c r="D11" i="7"/>
  <c r="D12" i="7"/>
  <c r="D13" i="7"/>
  <c r="D14" i="7"/>
  <c r="D15" i="7"/>
  <c r="D16" i="7"/>
  <c r="D5" i="7"/>
  <c r="C7" i="3"/>
  <c r="E5" i="9"/>
  <c r="F5" i="9"/>
  <c r="H5" i="9"/>
  <c r="E6" i="9"/>
  <c r="F6" i="9"/>
  <c r="H6" i="9"/>
  <c r="E7" i="9"/>
  <c r="F7" i="9"/>
  <c r="H7" i="9"/>
  <c r="E8" i="9"/>
  <c r="F8" i="9"/>
  <c r="H8" i="9"/>
  <c r="E9" i="9"/>
  <c r="F9" i="9"/>
  <c r="H9" i="9"/>
  <c r="E5" i="11"/>
  <c r="G5" i="11"/>
  <c r="E15" i="11"/>
  <c r="G15" i="11"/>
  <c r="J7" i="7"/>
  <c r="I9" i="7"/>
  <c r="J9" i="7"/>
  <c r="J11" i="7"/>
  <c r="E12" i="7"/>
  <c r="E14" i="7"/>
  <c r="J14" i="7"/>
  <c r="I15" i="7"/>
  <c r="J16" i="7"/>
  <c r="D8" i="6"/>
  <c r="D9" i="6"/>
  <c r="F9" i="6"/>
  <c r="D10" i="6"/>
  <c r="F10" i="6"/>
  <c r="D11" i="6"/>
  <c r="F11" i="6"/>
  <c r="F12" i="6"/>
  <c r="F13" i="6"/>
  <c r="D13" i="6"/>
  <c r="D16" i="6"/>
  <c r="D18" i="6"/>
  <c r="D19" i="6"/>
  <c r="D20" i="6"/>
  <c r="F20" i="6"/>
  <c r="D21" i="6"/>
  <c r="F21" i="6"/>
  <c r="D22" i="6"/>
  <c r="F22" i="6"/>
  <c r="C11" i="10"/>
  <c r="E11" i="10"/>
  <c r="D11" i="10"/>
  <c r="C12" i="10"/>
  <c r="E12" i="10"/>
  <c r="D12" i="10"/>
  <c r="C13" i="10"/>
  <c r="E13" i="10"/>
  <c r="D13" i="10"/>
  <c r="C14" i="10"/>
  <c r="E14" i="10"/>
  <c r="D14" i="10"/>
  <c r="C15" i="10"/>
  <c r="E15" i="10"/>
  <c r="D15" i="10"/>
  <c r="C16" i="10"/>
  <c r="E16" i="10"/>
  <c r="D16" i="10"/>
  <c r="C17" i="10"/>
  <c r="E17" i="10"/>
  <c r="D17" i="10"/>
  <c r="C18" i="10"/>
  <c r="E18" i="10"/>
  <c r="D18" i="10"/>
  <c r="C19" i="10"/>
  <c r="E19" i="10"/>
  <c r="D19" i="10"/>
  <c r="C20" i="10"/>
  <c r="E20" i="10"/>
  <c r="D20" i="10"/>
  <c r="C21" i="10"/>
  <c r="E21" i="10"/>
  <c r="D21" i="10"/>
  <c r="C22" i="10"/>
  <c r="E22" i="10"/>
  <c r="D22" i="10"/>
  <c r="C23" i="10"/>
  <c r="E23" i="10"/>
  <c r="D23" i="10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D6" i="4"/>
  <c r="E6" i="4"/>
  <c r="G13" i="4"/>
  <c r="I13" i="4"/>
  <c r="D7" i="4"/>
  <c r="E7" i="4"/>
  <c r="D8" i="4"/>
  <c r="E8" i="4"/>
  <c r="I8" i="4"/>
  <c r="E11" i="4"/>
  <c r="D14" i="4"/>
  <c r="F5" i="7"/>
  <c r="F8" i="7"/>
  <c r="H5" i="7"/>
  <c r="I14" i="7"/>
  <c r="E11" i="7"/>
  <c r="E9" i="7"/>
  <c r="G5" i="7"/>
  <c r="J5" i="7"/>
  <c r="I5" i="7"/>
  <c r="I11" i="7"/>
  <c r="I7" i="7"/>
  <c r="F13" i="7"/>
  <c r="I8" i="9"/>
  <c r="G14" i="4"/>
  <c r="H14" i="4"/>
  <c r="G15" i="4"/>
  <c r="I15" i="4"/>
  <c r="I14" i="4"/>
  <c r="H13" i="4"/>
  <c r="E7" i="7"/>
  <c r="E5" i="7"/>
  <c r="H14" i="8"/>
  <c r="I7" i="9"/>
  <c r="F16" i="7"/>
  <c r="E13" i="7"/>
  <c r="F10" i="8"/>
  <c r="H10" i="8"/>
  <c r="D6" i="8"/>
  <c r="F9" i="8"/>
  <c r="F9" i="7"/>
  <c r="H6" i="8"/>
  <c r="E13" i="8"/>
  <c r="F6" i="8"/>
  <c r="F7" i="7"/>
  <c r="E5" i="8"/>
  <c r="E9" i="8"/>
  <c r="G13" i="8"/>
  <c r="D5" i="8"/>
  <c r="G9" i="8"/>
  <c r="I5" i="9"/>
  <c r="I9" i="9"/>
  <c r="E6" i="7"/>
  <c r="I6" i="7"/>
  <c r="E15" i="7"/>
  <c r="K6" i="7"/>
  <c r="E8" i="8"/>
  <c r="G16" i="8"/>
  <c r="G12" i="8"/>
  <c r="H8" i="4"/>
  <c r="I16" i="7"/>
  <c r="J10" i="7"/>
  <c r="K13" i="7"/>
  <c r="H5" i="8"/>
  <c r="H9" i="8"/>
  <c r="G5" i="8"/>
  <c r="E15" i="8"/>
  <c r="E11" i="8"/>
  <c r="E7" i="8"/>
  <c r="F8" i="8"/>
  <c r="G15" i="8"/>
  <c r="G11" i="8"/>
  <c r="G7" i="8"/>
  <c r="K15" i="7"/>
  <c r="H7" i="8"/>
  <c r="D7" i="8"/>
  <c r="I10" i="7"/>
  <c r="F15" i="7"/>
  <c r="K10" i="7"/>
  <c r="E12" i="8"/>
  <c r="G8" i="8"/>
  <c r="J12" i="7"/>
  <c r="I8" i="7"/>
  <c r="I12" i="7"/>
  <c r="F6" i="7"/>
  <c r="E16" i="7"/>
  <c r="E10" i="7"/>
  <c r="F15" i="11"/>
  <c r="E8" i="7"/>
  <c r="J8" i="7"/>
  <c r="F12" i="7"/>
  <c r="H8" i="8"/>
  <c r="E14" i="8"/>
  <c r="E10" i="8"/>
  <c r="E6" i="8"/>
  <c r="I6" i="9"/>
  <c r="H7" i="4"/>
  <c r="I7" i="4"/>
  <c r="H6" i="4"/>
  <c r="I6" i="4"/>
  <c r="E13" i="6"/>
  <c r="H15" i="4"/>
  <c r="I10" i="9"/>
</calcChain>
</file>

<file path=xl/sharedStrings.xml><?xml version="1.0" encoding="utf-8"?>
<sst xmlns="http://schemas.openxmlformats.org/spreadsheetml/2006/main" count="239" uniqueCount="165">
  <si>
    <t>Drug:</t>
  </si>
  <si>
    <t>Dosage:</t>
  </si>
  <si>
    <t>mls/h</t>
  </si>
  <si>
    <t>Amount of drug:</t>
  </si>
  <si>
    <t>Volume of carrier:</t>
  </si>
  <si>
    <t>Patients weight:</t>
  </si>
  <si>
    <t>Maximum dose:</t>
  </si>
  <si>
    <t>Microgms / Kg /min</t>
  </si>
  <si>
    <t>infusion rate</t>
  </si>
  <si>
    <t>mg/h</t>
  </si>
  <si>
    <t>Adrenaline / Noradrenaline</t>
  </si>
  <si>
    <t>Dobutamine</t>
  </si>
  <si>
    <t>Total</t>
  </si>
  <si>
    <t>Dose</t>
  </si>
  <si>
    <t>Weight</t>
  </si>
  <si>
    <t>Dose Calculator</t>
  </si>
  <si>
    <t>Enter Weight in kg</t>
  </si>
  <si>
    <t xml:space="preserve">    Parvolex Calculator</t>
  </si>
  <si>
    <t>Age</t>
  </si>
  <si>
    <t>Premature</t>
  </si>
  <si>
    <t>Newborn</t>
  </si>
  <si>
    <t>1 month</t>
  </si>
  <si>
    <t>6 months</t>
  </si>
  <si>
    <t>1 year</t>
  </si>
  <si>
    <t>2-3 years</t>
  </si>
  <si>
    <t>4-5 years</t>
  </si>
  <si>
    <t>6-8 years</t>
  </si>
  <si>
    <t>10-12 years</t>
  </si>
  <si>
    <t>&gt;14 years</t>
  </si>
  <si>
    <t>HR</t>
  </si>
  <si>
    <t>RR</t>
  </si>
  <si>
    <t>&gt;40</t>
  </si>
  <si>
    <t>Sys</t>
  </si>
  <si>
    <r>
      <t xml:space="preserve">42 </t>
    </r>
    <r>
      <rPr>
        <sz val="13"/>
        <rFont val="Calibri"/>
        <family val="2"/>
      </rPr>
      <t>±</t>
    </r>
    <r>
      <rPr>
        <sz val="13"/>
        <rFont val="Arial"/>
        <family val="2"/>
      </rPr>
      <t xml:space="preserve"> 10</t>
    </r>
  </si>
  <si>
    <t>38 ± 10</t>
  </si>
  <si>
    <t>24 ± 6</t>
  </si>
  <si>
    <t>21 ± 4</t>
  </si>
  <si>
    <t>20 ± 4</t>
  </si>
  <si>
    <t>50 ± 10</t>
  </si>
  <si>
    <t>60 ± 10</t>
  </si>
  <si>
    <t>80 ± 16</t>
  </si>
  <si>
    <t>89 ± 29</t>
  </si>
  <si>
    <t>96 ± 30</t>
  </si>
  <si>
    <t>99 ± 25</t>
  </si>
  <si>
    <t>99 ± 20</t>
  </si>
  <si>
    <t>100 ± 20</t>
  </si>
  <si>
    <t>112 ± 20</t>
  </si>
  <si>
    <t>120 ± 20</t>
  </si>
  <si>
    <t>Dias</t>
  </si>
  <si>
    <t>21 ± 8</t>
  </si>
  <si>
    <t>28 ± 8</t>
  </si>
  <si>
    <t>37 ± 8</t>
  </si>
  <si>
    <t>46 ± 16</t>
  </si>
  <si>
    <t>66 ± 25</t>
  </si>
  <si>
    <t>64 ± 25</t>
  </si>
  <si>
    <t>65 ± 20</t>
  </si>
  <si>
    <t>65 ± 15</t>
  </si>
  <si>
    <t>68 ± 15</t>
  </si>
  <si>
    <t>75 ± 15</t>
  </si>
  <si>
    <t>27 ± 6</t>
  </si>
  <si>
    <t>28 ± 4</t>
  </si>
  <si>
    <t>39 ± 11</t>
  </si>
  <si>
    <t>Cefotaxime</t>
  </si>
  <si>
    <t>Bicarbonate</t>
  </si>
  <si>
    <t>Volume</t>
  </si>
  <si>
    <t>Drug</t>
  </si>
  <si>
    <t>20ml/kg</t>
  </si>
  <si>
    <t>4J/kg</t>
  </si>
  <si>
    <t>2J/kg</t>
  </si>
  <si>
    <t>1:1000</t>
  </si>
  <si>
    <t>1:10000</t>
  </si>
  <si>
    <r>
      <t>DC</t>
    </r>
    <r>
      <rPr>
        <sz val="8"/>
        <color indexed="62"/>
        <rFont val="Arial"/>
        <family val="2"/>
      </rPr>
      <t>(rounded figures)</t>
    </r>
  </si>
  <si>
    <t>Adrenalin</t>
  </si>
  <si>
    <t>RSI 4mg/kg iv/io</t>
  </si>
  <si>
    <t>0.4ml/kg PR</t>
  </si>
  <si>
    <t>0.1mg/kg</t>
  </si>
  <si>
    <t>0.5mg/kg</t>
  </si>
  <si>
    <t>Thiopentone</t>
  </si>
  <si>
    <t>Phenytoin</t>
  </si>
  <si>
    <t>Paraldehyde</t>
  </si>
  <si>
    <t>Lorazepam</t>
  </si>
  <si>
    <t>Diazepam PR</t>
  </si>
  <si>
    <t>Paediatric Vital signs</t>
  </si>
  <si>
    <t>Paediatriatic Convulsion Drugs</t>
  </si>
  <si>
    <t>Lignocaine</t>
  </si>
  <si>
    <t>Max</t>
  </si>
  <si>
    <t>Strength</t>
  </si>
  <si>
    <t>Local anaesthetic Dose</t>
  </si>
  <si>
    <t>% of max</t>
  </si>
  <si>
    <t>Parvolex (2g/10ml)</t>
  </si>
  <si>
    <t>Treatment level</t>
  </si>
  <si>
    <t>Amount taken (mg)</t>
  </si>
  <si>
    <t>Level time (h)</t>
  </si>
  <si>
    <t>Dexamethasone (oral)</t>
  </si>
  <si>
    <t>Ketamine iv sedation</t>
  </si>
  <si>
    <t>Morphine oral (2mg/ml) &lt;1y</t>
  </si>
  <si>
    <t xml:space="preserve">Morphine oral (2mg/ml) &gt;1y </t>
  </si>
  <si>
    <t>Propofol iv sedation</t>
  </si>
  <si>
    <t>Diamorrphine iv / nasal</t>
  </si>
  <si>
    <t>Duration</t>
  </si>
  <si>
    <t>Dilutent</t>
  </si>
  <si>
    <t>Rate</t>
  </si>
  <si>
    <t>Total volume</t>
  </si>
  <si>
    <t>Total Volume</t>
  </si>
  <si>
    <t>Dilutent for Children &lt;40kg</t>
  </si>
  <si>
    <t>Salbutamol</t>
  </si>
  <si>
    <t>mcg/min</t>
  </si>
  <si>
    <t>weight</t>
  </si>
  <si>
    <t>dose</t>
  </si>
  <si>
    <t>vial</t>
  </si>
  <si>
    <t>diluted volume</t>
  </si>
  <si>
    <t>0-6 months</t>
  </si>
  <si>
    <t>dose is in 0.2ml  give 0.3ml (accounting for wastage)</t>
  </si>
  <si>
    <t>Intranasal Ketamine</t>
  </si>
  <si>
    <t>Richard Pearson 2004 / 2014</t>
  </si>
  <si>
    <t>max 110kg</t>
  </si>
  <si>
    <t>50% base deficit x wt /3</t>
  </si>
  <si>
    <t>Bicarbonate (half correction)</t>
  </si>
  <si>
    <t>Morphine iv (0.1-0.2mg/kg)</t>
  </si>
  <si>
    <t>Lorazepam iv</t>
  </si>
  <si>
    <t>10% Dextrose</t>
  </si>
  <si>
    <t>2ml/kg</t>
  </si>
  <si>
    <t>4 / 2 / 1 ml/kg/h</t>
  </si>
  <si>
    <t>Fluids maintenance</t>
  </si>
  <si>
    <t>Fluids Stat</t>
  </si>
  <si>
    <t>Fluid Maintenance</t>
  </si>
  <si>
    <t>4 / 2 /1 ml/kg/h</t>
  </si>
  <si>
    <t>ETT</t>
  </si>
  <si>
    <t>Paediatric Dose Calculator</t>
  </si>
  <si>
    <t>(age+4)*2</t>
  </si>
  <si>
    <t>(age*2)+8</t>
  </si>
  <si>
    <t>(age*3)+7</t>
  </si>
  <si>
    <t>(age/4)+4</t>
  </si>
  <si>
    <t>APLS</t>
  </si>
  <si>
    <t>Fluid Bolus</t>
  </si>
  <si>
    <t>20mg/kg</t>
  </si>
  <si>
    <t>Burns Fluids replacement 24h</t>
  </si>
  <si>
    <t>Fluids replacement 48h</t>
  </si>
  <si>
    <t>Midazolam buccal max 15mg</t>
  </si>
  <si>
    <t>Bupivacaine</t>
  </si>
  <si>
    <t>Levobupivacaine</t>
  </si>
  <si>
    <t>Prilocaine</t>
  </si>
  <si>
    <t>Stop</t>
  </si>
  <si>
    <t>Instructions for Reducing Prednisolone dose</t>
  </si>
  <si>
    <t>Loading 5mcg/kg 10min infant</t>
  </si>
  <si>
    <t>Loading 15mcg/kg 10min &gt;1y</t>
  </si>
  <si>
    <t>5-12 months</t>
  </si>
  <si>
    <t>&gt;12 months</t>
  </si>
  <si>
    <t>0-12</t>
  </si>
  <si>
    <t>volume</t>
  </si>
  <si>
    <t>100 mcg / 2ml</t>
  </si>
  <si>
    <t>Intranasal Fentanyl 100mcg/2ml</t>
  </si>
  <si>
    <t>Intranasal Diamorrphine from powder</t>
  </si>
  <si>
    <t>Chlorphenamine (iv or po)</t>
  </si>
  <si>
    <t>Chlorphenamine</t>
  </si>
  <si>
    <t>Hydrocortisone</t>
  </si>
  <si>
    <t>6 months - 6y</t>
  </si>
  <si>
    <t>6-12y</t>
  </si>
  <si>
    <t>&gt;12y</t>
  </si>
  <si>
    <t>Anaphylaxis Drugs</t>
  </si>
  <si>
    <t>Adrenalin neb 1:1000</t>
  </si>
  <si>
    <t>Adrenalin 1:1000</t>
  </si>
  <si>
    <t xml:space="preserve">    Parvolex Calculator SNAP Regimen</t>
  </si>
  <si>
    <t>Richard Pearson 2020</t>
  </si>
  <si>
    <t>Infusion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</si>
</sst>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164" formatCode="0\ \k\g"/>
    <numFmt numFmtId="165" formatCode="0.0"/>
    <numFmt numFmtId="166" formatCode="0\ &quot;mg&quot;"/>
    <numFmt numFmtId="167" formatCode="0\ &quot;mls&quot;"/>
    <numFmt numFmtId="168" formatCode="0\ &quot;mcg/kg/min&quot;"/>
    <numFmt numFmtId="169" formatCode="0\ &quot;mg/h&quot;"/>
    <numFmt numFmtId="170" formatCode="0.0\ &quot;mg&quot;"/>
    <numFmt numFmtId="171" formatCode="0.0\ &quot;mcg/kg/min&quot;"/>
    <numFmt numFmtId="172" formatCode="0.0\ &quot;mg/kg&quot;"/>
    <numFmt numFmtId="173" formatCode="0.0\ &quot;mcg/kg&quot;"/>
    <numFmt numFmtId="174" formatCode="0.0\ \k\g"/>
    <numFmt numFmtId="175" formatCode="0\ &quot;ml&quot;"/>
    <numFmt numFmtId="176" formatCode="0\ &quot;mg/kg&quot;"/>
    <numFmt numFmtId="177" formatCode="0.0\ &quot;ml/h&quot;"/>
    <numFmt numFmtId="178" formatCode="0.00\ &quot;h&quot;"/>
    <numFmt numFmtId="179" formatCode="0.00\ &quot;ml&quot;"/>
    <numFmt numFmtId="180" formatCode="0.00\ \g"/>
    <numFmt numFmtId="181" formatCode="0.00\ &quot;mg/kg&quot;"/>
    <numFmt numFmtId="182" formatCode="0.0\ &quot;ml (2mg/ml)&quot;"/>
    <numFmt numFmtId="183" formatCode="0.0\ &quot;ml&quot;"/>
    <numFmt numFmtId="184" formatCode="0.0\ &quot;ml (100mg/5ml)&quot;"/>
    <numFmt numFmtId="185" formatCode="0.0\ &quot;ml (2mg/5ml)&quot;"/>
    <numFmt numFmtId="186" formatCode="0\ &quot;mmol&quot;"/>
    <numFmt numFmtId="187" formatCode="0.0\ &quot;mmol/kg&quot;"/>
    <numFmt numFmtId="188" formatCode="0\ \J"/>
    <numFmt numFmtId="189" formatCode="0\ &quot;kg&quot;"/>
    <numFmt numFmtId="190" formatCode="0&quot; kg&quot;"/>
    <numFmt numFmtId="191" formatCode="0&quot; mg/kg&quot;"/>
    <numFmt numFmtId="192" formatCode="0.0%"/>
    <numFmt numFmtId="193" formatCode="0.0\ &quot;h&quot;"/>
    <numFmt numFmtId="194" formatCode="0\ &quot;mg/l&quot;"/>
    <numFmt numFmtId="195" formatCode="0.0\ &quot;ml (10mg/ml)&quot;"/>
    <numFmt numFmtId="196" formatCode="&quot;Base deficit = &quot;0\ &quot;mmol&quot;"/>
    <numFmt numFmtId="197" formatCode="0&quot; ml 4.2%&quot;"/>
    <numFmt numFmtId="198" formatCode="0\ &quot;ml 5% Dex&quot;"/>
    <numFmt numFmtId="199" formatCode="0\ &quot;mcg&quot;"/>
    <numFmt numFmtId="200" formatCode="0\ &quot;mcg/kg&quot;"/>
    <numFmt numFmtId="201" formatCode="0.00\ &quot;mg/0.2ml&quot;"/>
    <numFmt numFmtId="202" formatCode="&quot;10mg in &quot;0.0&quot;ml (give 0.2ml)&quot;"/>
    <numFmt numFmtId="203" formatCode="0.0\ &quot;kg&quot;"/>
    <numFmt numFmtId="204" formatCode="0.0&quot; ml&quot;"/>
    <numFmt numFmtId="205" formatCode="0.0&quot;mg&quot;"/>
    <numFmt numFmtId="206" formatCode="0.0&quot; mg/kg&quot;"/>
    <numFmt numFmtId="207" formatCode="0.0\ &quot;ml/kg&quot;"/>
    <numFmt numFmtId="208" formatCode="&quot;Enter weight &quot;0.0&quot; kg&quot;"/>
    <numFmt numFmtId="209" formatCode="&quot;Burn BSA = &quot;0\ &quot;%&quot;"/>
    <numFmt numFmtId="210" formatCode="0.0\ &quot;ml/h first 8h&quot;"/>
    <numFmt numFmtId="211" formatCode="0.0\ &quot;ml/kg/h&quot;"/>
    <numFmt numFmtId="212" formatCode="0\ &quot;ml/kg/BSA&quot;"/>
    <numFmt numFmtId="213" formatCode="0.0\ &quot;ml/kg/day&quot;"/>
    <numFmt numFmtId="214" formatCode="0.0\ &quot;mm&quot;"/>
    <numFmt numFmtId="215" formatCode="0\ &quot;ml in 24h&quot;"/>
    <numFmt numFmtId="216" formatCode="&quot;Fluid replacement = &quot;0\ &quot;%&quot;"/>
    <numFmt numFmtId="217" formatCode="0\ &quot;ml/kg&quot;"/>
    <numFmt numFmtId="218" formatCode="0\ &quot;ml in 48h&quot;"/>
    <numFmt numFmtId="219" formatCode="0.0\ &quot;ml/h 48h&quot;"/>
    <numFmt numFmtId="220" formatCode="0&quot; mg&quot;"/>
    <numFmt numFmtId="221" formatCode="0&quot; tablets&quot;"/>
    <numFmt numFmtId="222" formatCode="0&quot; days&quot;"/>
    <numFmt numFmtId="223" formatCode="0.00\ &quot;mcg/0.2ml&quot;"/>
    <numFmt numFmtId="224" formatCode="0.00\ &quot;mcg&quot;"/>
    <numFmt numFmtId="225" formatCode="0\ &quot;mcg im&quot;"/>
    <numFmt numFmtId="226" formatCode="0.0\ &quot;mg/min&quot;"/>
    <numFmt numFmtId="227" formatCode="0.0\ &quot;μg/kg/min&quot;"/>
    <numFmt numFmtId="228" formatCode="0.00\ &quot;mg/min&quot;"/>
  </numFmts>
  <fonts count="30" x14ac:knownFonts="1">
    <font>
      <sz val="13"/>
      <name val="Arial"/>
      <family val="2"/>
    </font>
    <font>
      <sz val="11"/>
      <color theme="1"/>
      <name val="Calibri"/>
      <family val="2"/>
      <scheme val="minor"/>
    </font>
    <font>
      <sz val="13"/>
      <name val="Arial"/>
      <family val="2"/>
    </font>
    <font>
      <sz val="13.5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3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3"/>
      <color indexed="60"/>
      <name val="Arial"/>
      <family val="2"/>
    </font>
    <font>
      <sz val="13"/>
      <color indexed="62"/>
      <name val="Arial"/>
      <family val="2"/>
    </font>
    <font>
      <sz val="13"/>
      <color indexed="36"/>
      <name val="Arial"/>
      <family val="2"/>
    </font>
    <font>
      <sz val="13"/>
      <color indexed="32"/>
      <name val="Arial"/>
      <family val="2"/>
    </font>
    <font>
      <sz val="13"/>
      <color indexed="10"/>
      <name val="Arial"/>
      <family val="2"/>
    </font>
    <font>
      <sz val="14"/>
      <color indexed="60"/>
      <name val="Arial"/>
      <family val="2"/>
    </font>
    <font>
      <sz val="14"/>
      <color indexed="62"/>
      <name val="Arial"/>
      <family val="2"/>
    </font>
    <font>
      <sz val="8"/>
      <color indexed="62"/>
      <name val="Arial"/>
      <family val="2"/>
    </font>
    <font>
      <sz val="14"/>
      <color indexed="36"/>
      <name val="Arial"/>
      <family val="2"/>
    </font>
    <font>
      <sz val="14"/>
      <color indexed="32"/>
      <name val="Arial"/>
      <family val="2"/>
    </font>
    <font>
      <sz val="14"/>
      <color indexed="10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22"/>
      <color theme="1"/>
      <name val="Arial"/>
      <family val="2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double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double">
        <color indexed="10"/>
      </bottom>
      <diagonal/>
    </border>
    <border>
      <left/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double">
        <color indexed="10"/>
      </right>
      <top/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thin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thin">
        <color indexed="10"/>
      </bottom>
      <diagonal/>
    </border>
    <border>
      <left style="double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Border="0" applyProtection="0">
      <alignment vertical="center"/>
    </xf>
    <xf numFmtId="0" fontId="7" fillId="0" borderId="0">
      <alignment vertical="center"/>
    </xf>
    <xf numFmtId="0" fontId="9" fillId="0" borderId="0"/>
    <xf numFmtId="0" fontId="1" fillId="0" borderId="0"/>
  </cellStyleXfs>
  <cellXfs count="374">
    <xf numFmtId="0" fontId="0" fillId="0" borderId="0" xfId="0"/>
    <xf numFmtId="2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>
      <alignment vertical="center"/>
    </xf>
    <xf numFmtId="0" fontId="4" fillId="0" borderId="0" xfId="1" applyProtection="1">
      <alignment vertical="center"/>
    </xf>
    <xf numFmtId="0" fontId="5" fillId="0" borderId="0" xfId="1" applyFont="1" applyProtection="1">
      <alignment vertical="center"/>
    </xf>
    <xf numFmtId="0" fontId="4" fillId="0" borderId="0" xfId="1" applyFont="1" applyBorder="1" applyProtection="1">
      <alignment vertical="center"/>
    </xf>
    <xf numFmtId="0" fontId="6" fillId="0" borderId="0" xfId="1" applyFont="1" applyProtection="1">
      <alignment vertical="center"/>
    </xf>
    <xf numFmtId="0" fontId="7" fillId="0" borderId="0" xfId="2">
      <alignment vertical="center"/>
    </xf>
    <xf numFmtId="0" fontId="7" fillId="0" borderId="0" xfId="2" applyFill="1" applyBorder="1">
      <alignment vertical="center"/>
    </xf>
    <xf numFmtId="0" fontId="7" fillId="0" borderId="0" xfId="2" applyFont="1">
      <alignment vertical="center"/>
    </xf>
    <xf numFmtId="0" fontId="7" fillId="0" borderId="0" xfId="2" applyFont="1" applyFill="1" applyBorder="1">
      <alignment vertical="center"/>
    </xf>
    <xf numFmtId="0" fontId="7" fillId="0" borderId="0" xfId="2" applyAlignment="1">
      <alignment vertical="center"/>
    </xf>
    <xf numFmtId="179" fontId="7" fillId="0" borderId="1" xfId="2" applyNumberFormat="1" applyFont="1" applyBorder="1" applyAlignment="1">
      <alignment horizontal="center" vertical="center"/>
    </xf>
    <xf numFmtId="180" fontId="7" fillId="0" borderId="1" xfId="2" applyNumberFormat="1" applyFont="1" applyBorder="1" applyAlignment="1">
      <alignment horizontal="center" vertical="center"/>
    </xf>
    <xf numFmtId="176" fontId="7" fillId="0" borderId="1" xfId="2" applyNumberFormat="1" applyFont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176" fontId="7" fillId="0" borderId="1" xfId="2" applyNumberFormat="1" applyBorder="1" applyAlignment="1">
      <alignment horizontal="center" vertical="center"/>
    </xf>
    <xf numFmtId="1" fontId="7" fillId="0" borderId="1" xfId="2" applyNumberForma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164" fontId="7" fillId="2" borderId="2" xfId="2" applyNumberFormat="1" applyFont="1" applyFill="1" applyBorder="1" applyAlignment="1" applyProtection="1">
      <alignment horizontal="center" vertical="center"/>
      <protection locked="0"/>
    </xf>
    <xf numFmtId="0" fontId="9" fillId="0" borderId="0" xfId="3"/>
    <xf numFmtId="0" fontId="9" fillId="0" borderId="0" xfId="3" applyAlignment="1">
      <alignment vertical="center"/>
    </xf>
    <xf numFmtId="181" fontId="10" fillId="0" borderId="3" xfId="3" applyNumberFormat="1" applyFont="1" applyBorder="1" applyAlignment="1">
      <alignment horizontal="center" vertical="center"/>
    </xf>
    <xf numFmtId="176" fontId="10" fillId="0" borderId="4" xfId="3" applyNumberFormat="1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182" fontId="10" fillId="0" borderId="5" xfId="3" applyNumberFormat="1" applyFont="1" applyBorder="1" applyAlignment="1">
      <alignment horizontal="center" vertical="center"/>
    </xf>
    <xf numFmtId="181" fontId="10" fillId="0" borderId="6" xfId="3" applyNumberFormat="1" applyFont="1" applyBorder="1" applyAlignment="1">
      <alignment horizontal="center" vertical="center"/>
    </xf>
    <xf numFmtId="176" fontId="10" fillId="0" borderId="7" xfId="3" applyNumberFormat="1" applyFont="1" applyBorder="1" applyAlignment="1">
      <alignment horizontal="center" vertical="center"/>
    </xf>
    <xf numFmtId="182" fontId="10" fillId="0" borderId="8" xfId="3" applyNumberFormat="1" applyFont="1" applyBorder="1" applyAlignment="1">
      <alignment horizontal="center" vertical="center"/>
    </xf>
    <xf numFmtId="181" fontId="10" fillId="0" borderId="9" xfId="3" applyNumberFormat="1" applyFont="1" applyBorder="1" applyAlignment="1">
      <alignment horizontal="center" vertical="center"/>
    </xf>
    <xf numFmtId="176" fontId="10" fillId="0" borderId="10" xfId="3" applyNumberFormat="1" applyFont="1" applyBorder="1" applyAlignment="1">
      <alignment horizontal="center" vertical="center"/>
    </xf>
    <xf numFmtId="183" fontId="10" fillId="0" borderId="8" xfId="3" applyNumberFormat="1" applyFont="1" applyBorder="1" applyAlignment="1">
      <alignment horizontal="center" vertical="center"/>
    </xf>
    <xf numFmtId="184" fontId="10" fillId="0" borderId="8" xfId="3" applyNumberFormat="1" applyFont="1" applyBorder="1" applyAlignment="1">
      <alignment horizontal="center" vertical="center"/>
    </xf>
    <xf numFmtId="172" fontId="10" fillId="0" borderId="9" xfId="3" applyNumberFormat="1" applyFont="1" applyBorder="1" applyAlignment="1">
      <alignment horizontal="center" vertical="center"/>
    </xf>
    <xf numFmtId="185" fontId="10" fillId="0" borderId="8" xfId="3" applyNumberFormat="1" applyFont="1" applyBorder="1" applyAlignment="1">
      <alignment horizontal="center" vertical="center"/>
    </xf>
    <xf numFmtId="187" fontId="10" fillId="0" borderId="9" xfId="3" applyNumberFormat="1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5" fillId="0" borderId="0" xfId="3" applyFont="1"/>
    <xf numFmtId="0" fontId="7" fillId="0" borderId="11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190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90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190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0" borderId="0" xfId="2" applyFont="1">
      <alignment vertical="center"/>
    </xf>
    <xf numFmtId="0" fontId="7" fillId="0" borderId="0" xfId="2" applyFont="1" applyBorder="1" applyAlignment="1">
      <alignment horizontal="right" vertical="center"/>
    </xf>
    <xf numFmtId="195" fontId="10" fillId="0" borderId="24" xfId="3" applyNumberFormat="1" applyFont="1" applyBorder="1" applyAlignment="1">
      <alignment horizontal="center" vertical="center"/>
    </xf>
    <xf numFmtId="197" fontId="10" fillId="0" borderId="8" xfId="3" applyNumberFormat="1" applyFont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center" vertical="center"/>
    </xf>
    <xf numFmtId="0" fontId="7" fillId="0" borderId="0" xfId="2" applyBorder="1">
      <alignment vertical="center"/>
    </xf>
    <xf numFmtId="0" fontId="7" fillId="0" borderId="0" xfId="2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center" vertical="center"/>
    </xf>
    <xf numFmtId="0" fontId="7" fillId="3" borderId="0" xfId="2" applyNumberFormat="1" applyFont="1" applyFill="1" applyBorder="1" applyAlignment="1" applyProtection="1">
      <alignment horizontal="center" vertical="center"/>
    </xf>
    <xf numFmtId="166" fontId="7" fillId="2" borderId="2" xfId="2" applyNumberFormat="1" applyFont="1" applyFill="1" applyBorder="1" applyAlignment="1" applyProtection="1">
      <alignment horizontal="center" vertical="center"/>
      <protection locked="0"/>
    </xf>
    <xf numFmtId="193" fontId="7" fillId="2" borderId="2" xfId="2" applyNumberFormat="1" applyFont="1" applyFill="1" applyBorder="1" applyAlignment="1" applyProtection="1">
      <alignment horizontal="center" vertical="center"/>
      <protection locked="0"/>
    </xf>
    <xf numFmtId="194" fontId="7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Border="1" applyAlignment="1">
      <alignment vertical="center"/>
    </xf>
    <xf numFmtId="198" fontId="7" fillId="0" borderId="1" xfId="2" applyNumberFormat="1" applyFont="1" applyBorder="1" applyAlignment="1">
      <alignment horizontal="center" vertical="center"/>
    </xf>
    <xf numFmtId="177" fontId="7" fillId="0" borderId="1" xfId="2" applyNumberFormat="1" applyFont="1" applyBorder="1" applyAlignment="1">
      <alignment horizontal="center" vertical="center"/>
    </xf>
    <xf numFmtId="178" fontId="7" fillId="0" borderId="25" xfId="2" applyNumberFormat="1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201" fontId="0" fillId="0" borderId="19" xfId="0" applyNumberFormat="1" applyBorder="1" applyAlignment="1">
      <alignment horizontal="center" vertical="center"/>
    </xf>
    <xf numFmtId="183" fontId="0" fillId="0" borderId="20" xfId="0" applyNumberFormat="1" applyBorder="1" applyAlignment="1">
      <alignment horizontal="center" vertical="center"/>
    </xf>
    <xf numFmtId="166" fontId="0" fillId="4" borderId="19" xfId="0" applyNumberFormat="1" applyFill="1" applyBorder="1" applyAlignment="1" applyProtection="1">
      <alignment horizontal="center" vertical="center"/>
      <protection locked="0"/>
    </xf>
    <xf numFmtId="202" fontId="10" fillId="0" borderId="8" xfId="3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165" fontId="0" fillId="0" borderId="0" xfId="0" applyNumberForma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0" fontId="22" fillId="0" borderId="0" xfId="2" applyFont="1" applyAlignment="1">
      <alignment vertical="top"/>
    </xf>
    <xf numFmtId="0" fontId="9" fillId="0" borderId="0" xfId="3" applyAlignment="1">
      <alignment vertical="top"/>
    </xf>
    <xf numFmtId="0" fontId="25" fillId="0" borderId="0" xfId="3" applyFont="1" applyAlignment="1">
      <alignment horizontal="center" vertical="top"/>
    </xf>
    <xf numFmtId="0" fontId="6" fillId="0" borderId="0" xfId="3" applyFont="1" applyAlignment="1">
      <alignment vertical="top"/>
    </xf>
    <xf numFmtId="0" fontId="20" fillId="0" borderId="30" xfId="3" applyFont="1" applyBorder="1" applyAlignment="1">
      <alignment horizontal="center" vertical="center"/>
    </xf>
    <xf numFmtId="0" fontId="2" fillId="0" borderId="31" xfId="3" applyFont="1" applyBorder="1" applyAlignment="1">
      <alignment horizontal="center" vertical="center"/>
    </xf>
    <xf numFmtId="0" fontId="2" fillId="0" borderId="32" xfId="3" applyFont="1" applyBorder="1" applyAlignment="1">
      <alignment horizontal="center" vertical="center"/>
    </xf>
    <xf numFmtId="0" fontId="2" fillId="0" borderId="33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3" fillId="0" borderId="0" xfId="2" applyFont="1" applyAlignment="1">
      <alignment horizontal="right" vertical="top"/>
    </xf>
    <xf numFmtId="166" fontId="3" fillId="2" borderId="0" xfId="0" applyNumberFormat="1" applyFont="1" applyFill="1" applyAlignment="1" applyProtection="1">
      <alignment horizontal="left" vertical="center" indent="1"/>
      <protection locked="0"/>
    </xf>
    <xf numFmtId="167" fontId="3" fillId="2" borderId="0" xfId="0" applyNumberFormat="1" applyFont="1" applyFill="1" applyAlignment="1" applyProtection="1">
      <alignment horizontal="left" vertical="center" indent="1"/>
      <protection locked="0"/>
    </xf>
    <xf numFmtId="164" fontId="3" fillId="2" borderId="0" xfId="0" applyNumberFormat="1" applyFont="1" applyFill="1" applyAlignment="1" applyProtection="1">
      <alignment horizontal="left" vertical="center" indent="1"/>
      <protection locked="0"/>
    </xf>
    <xf numFmtId="199" fontId="3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0" xfId="0" quotePrefix="1" applyFont="1" applyAlignment="1">
      <alignment horizontal="left" vertical="center" indent="3"/>
    </xf>
    <xf numFmtId="2" fontId="0" fillId="0" borderId="0" xfId="0" applyNumberFormat="1" applyAlignment="1">
      <alignment horizontal="left" vertical="center" indent="3"/>
    </xf>
    <xf numFmtId="0" fontId="3" fillId="0" borderId="0" xfId="0" applyFont="1" applyAlignment="1">
      <alignment horizontal="left" vertical="center" indent="3"/>
    </xf>
    <xf numFmtId="165" fontId="0" fillId="0" borderId="0" xfId="0" applyNumberFormat="1" applyAlignment="1">
      <alignment horizontal="left" vertical="center" indent="3"/>
    </xf>
    <xf numFmtId="177" fontId="10" fillId="0" borderId="8" xfId="3" applyNumberFormat="1" applyFont="1" applyBorder="1" applyAlignment="1">
      <alignment horizontal="center" vertical="center"/>
    </xf>
    <xf numFmtId="207" fontId="10" fillId="0" borderId="9" xfId="3" applyNumberFormat="1" applyFont="1" applyBorder="1" applyAlignment="1">
      <alignment horizontal="center" vertical="center"/>
    </xf>
    <xf numFmtId="175" fontId="10" fillId="0" borderId="8" xfId="3" applyNumberFormat="1" applyFont="1" applyBorder="1" applyAlignment="1">
      <alignment horizontal="center" vertical="center"/>
    </xf>
    <xf numFmtId="212" fontId="10" fillId="0" borderId="9" xfId="3" applyNumberFormat="1" applyFont="1" applyBorder="1" applyAlignment="1">
      <alignment horizontal="center" vertical="center"/>
    </xf>
    <xf numFmtId="211" fontId="10" fillId="0" borderId="34" xfId="3" applyNumberFormat="1" applyFont="1" applyBorder="1" applyAlignment="1">
      <alignment horizontal="center" vertical="center"/>
    </xf>
    <xf numFmtId="0" fontId="2" fillId="0" borderId="35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3" fillId="0" borderId="36" xfId="3" applyFont="1" applyBorder="1" applyAlignment="1">
      <alignment horizontal="center" vertical="center"/>
    </xf>
    <xf numFmtId="0" fontId="13" fillId="0" borderId="37" xfId="3" quotePrefix="1" applyNumberFormat="1" applyFont="1" applyBorder="1" applyAlignment="1">
      <alignment horizontal="center" vertical="center"/>
    </xf>
    <xf numFmtId="0" fontId="12" fillId="0" borderId="36" xfId="3" applyFont="1" applyBorder="1" applyAlignment="1">
      <alignment horizontal="center" vertical="center"/>
    </xf>
    <xf numFmtId="0" fontId="12" fillId="0" borderId="37" xfId="3" applyFont="1" applyBorder="1" applyAlignment="1">
      <alignment horizontal="center" vertical="center"/>
    </xf>
    <xf numFmtId="0" fontId="11" fillId="0" borderId="35" xfId="3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0" fillId="0" borderId="38" xfId="3" applyFont="1" applyBorder="1" applyAlignment="1">
      <alignment horizontal="center" vertical="center"/>
    </xf>
    <xf numFmtId="189" fontId="15" fillId="0" borderId="16" xfId="3" applyNumberFormat="1" applyFont="1" applyBorder="1" applyAlignment="1">
      <alignment horizontal="center" vertical="center"/>
    </xf>
    <xf numFmtId="183" fontId="13" fillId="0" borderId="16" xfId="3" applyNumberFormat="1" applyFont="1" applyBorder="1" applyAlignment="1">
      <alignment horizontal="center" vertical="center"/>
    </xf>
    <xf numFmtId="188" fontId="12" fillId="0" borderId="16" xfId="3" applyNumberFormat="1" applyFont="1" applyBorder="1" applyAlignment="1">
      <alignment horizontal="center" vertical="center"/>
    </xf>
    <xf numFmtId="175" fontId="11" fillId="0" borderId="16" xfId="3" applyNumberFormat="1" applyFont="1" applyBorder="1" applyAlignment="1">
      <alignment horizontal="center" vertical="center"/>
    </xf>
    <xf numFmtId="177" fontId="11" fillId="0" borderId="16" xfId="3" applyNumberFormat="1" applyFont="1" applyBorder="1" applyAlignment="1">
      <alignment horizontal="center" vertical="center"/>
    </xf>
    <xf numFmtId="189" fontId="15" fillId="0" borderId="28" xfId="3" applyNumberFormat="1" applyFont="1" applyBorder="1" applyAlignment="1">
      <alignment horizontal="center" vertical="center"/>
    </xf>
    <xf numFmtId="183" fontId="13" fillId="0" borderId="28" xfId="3" applyNumberFormat="1" applyFont="1" applyBorder="1" applyAlignment="1">
      <alignment horizontal="center" vertical="center"/>
    </xf>
    <xf numFmtId="188" fontId="12" fillId="0" borderId="28" xfId="3" applyNumberFormat="1" applyFont="1" applyBorder="1" applyAlignment="1">
      <alignment horizontal="center" vertical="center"/>
    </xf>
    <xf numFmtId="175" fontId="11" fillId="0" borderId="28" xfId="3" applyNumberFormat="1" applyFont="1" applyBorder="1" applyAlignment="1">
      <alignment horizontal="center" vertical="center"/>
    </xf>
    <xf numFmtId="177" fontId="11" fillId="0" borderId="28" xfId="3" applyNumberFormat="1" applyFont="1" applyBorder="1" applyAlignment="1">
      <alignment horizontal="center" vertical="center"/>
    </xf>
    <xf numFmtId="175" fontId="2" fillId="0" borderId="29" xfId="3" applyNumberFormat="1" applyFont="1" applyBorder="1" applyAlignment="1">
      <alignment horizontal="center" vertical="center"/>
    </xf>
    <xf numFmtId="175" fontId="2" fillId="0" borderId="17" xfId="3" applyNumberFormat="1" applyFont="1" applyBorder="1" applyAlignment="1">
      <alignment horizontal="center" vertical="center"/>
    </xf>
    <xf numFmtId="189" fontId="15" fillId="0" borderId="19" xfId="3" applyNumberFormat="1" applyFont="1" applyBorder="1" applyAlignment="1">
      <alignment horizontal="center" vertical="center"/>
    </xf>
    <xf numFmtId="183" fontId="13" fillId="0" borderId="19" xfId="3" applyNumberFormat="1" applyFont="1" applyBorder="1" applyAlignment="1">
      <alignment horizontal="center" vertical="center"/>
    </xf>
    <xf numFmtId="188" fontId="12" fillId="0" borderId="19" xfId="3" applyNumberFormat="1" applyFont="1" applyBorder="1" applyAlignment="1">
      <alignment horizontal="center" vertical="center"/>
    </xf>
    <xf numFmtId="175" fontId="11" fillId="0" borderId="19" xfId="3" applyNumberFormat="1" applyFont="1" applyBorder="1" applyAlignment="1">
      <alignment horizontal="center" vertical="center"/>
    </xf>
    <xf numFmtId="177" fontId="11" fillId="0" borderId="19" xfId="3" applyNumberFormat="1" applyFont="1" applyBorder="1" applyAlignment="1">
      <alignment horizontal="center" vertical="center"/>
    </xf>
    <xf numFmtId="175" fontId="2" fillId="0" borderId="20" xfId="3" applyNumberFormat="1" applyFont="1" applyBorder="1" applyAlignment="1">
      <alignment horizontal="center" vertical="center"/>
    </xf>
    <xf numFmtId="189" fontId="15" fillId="0" borderId="29" xfId="3" applyNumberFormat="1" applyFont="1" applyBorder="1" applyAlignment="1">
      <alignment horizontal="center" vertical="center"/>
    </xf>
    <xf numFmtId="189" fontId="15" fillId="0" borderId="17" xfId="3" applyNumberFormat="1" applyFont="1" applyBorder="1" applyAlignment="1">
      <alignment horizontal="center" vertical="center"/>
    </xf>
    <xf numFmtId="189" fontId="15" fillId="0" borderId="20" xfId="3" applyNumberFormat="1" applyFont="1" applyBorder="1" applyAlignment="1">
      <alignment horizontal="center" vertical="center"/>
    </xf>
    <xf numFmtId="189" fontId="15" fillId="0" borderId="15" xfId="3" applyNumberFormat="1" applyFont="1" applyBorder="1" applyAlignment="1">
      <alignment horizontal="center" vertical="center"/>
    </xf>
    <xf numFmtId="189" fontId="15" fillId="0" borderId="18" xfId="3" applyNumberFormat="1" applyFont="1" applyBorder="1" applyAlignment="1">
      <alignment horizontal="center" vertical="center"/>
    </xf>
    <xf numFmtId="189" fontId="15" fillId="0" borderId="12" xfId="3" applyNumberFormat="1" applyFont="1" applyBorder="1" applyAlignment="1">
      <alignment horizontal="center" vertical="center"/>
    </xf>
    <xf numFmtId="189" fontId="15" fillId="0" borderId="13" xfId="3" applyNumberFormat="1" applyFont="1" applyBorder="1" applyAlignment="1">
      <alignment horizontal="center" vertical="center"/>
    </xf>
    <xf numFmtId="189" fontId="15" fillId="0" borderId="14" xfId="3" applyNumberFormat="1" applyFont="1" applyBorder="1" applyAlignment="1">
      <alignment horizontal="center" vertical="center"/>
    </xf>
    <xf numFmtId="0" fontId="21" fillId="0" borderId="39" xfId="3" applyFont="1" applyBorder="1" applyAlignment="1">
      <alignment horizontal="center" vertical="center"/>
    </xf>
    <xf numFmtId="189" fontId="15" fillId="0" borderId="40" xfId="3" applyNumberFormat="1" applyFont="1" applyBorder="1" applyAlignment="1">
      <alignment horizontal="center" vertical="center"/>
    </xf>
    <xf numFmtId="214" fontId="14" fillId="0" borderId="27" xfId="3" applyNumberFormat="1" applyFont="1" applyBorder="1" applyAlignment="1">
      <alignment horizontal="center" vertical="center"/>
    </xf>
    <xf numFmtId="214" fontId="14" fillId="0" borderId="15" xfId="3" applyNumberFormat="1" applyFont="1" applyBorder="1" applyAlignment="1">
      <alignment horizontal="center" vertical="center"/>
    </xf>
    <xf numFmtId="214" fontId="14" fillId="0" borderId="18" xfId="3" applyNumberFormat="1" applyFont="1" applyBorder="1" applyAlignment="1">
      <alignment horizontal="center" vertical="center"/>
    </xf>
    <xf numFmtId="189" fontId="15" fillId="0" borderId="41" xfId="3" applyNumberFormat="1" applyFont="1" applyBorder="1" applyAlignment="1">
      <alignment horizontal="center" vertical="center"/>
    </xf>
    <xf numFmtId="189" fontId="15" fillId="0" borderId="37" xfId="3" applyNumberFormat="1" applyFont="1" applyBorder="1" applyAlignment="1">
      <alignment horizontal="center" vertical="center"/>
    </xf>
    <xf numFmtId="189" fontId="15" fillId="0" borderId="27" xfId="3" applyNumberFormat="1" applyFont="1" applyBorder="1" applyAlignment="1">
      <alignment horizontal="center" vertical="center"/>
    </xf>
    <xf numFmtId="0" fontId="2" fillId="0" borderId="42" xfId="3" applyFont="1" applyBorder="1" applyAlignment="1">
      <alignment horizontal="center" vertical="center"/>
    </xf>
    <xf numFmtId="0" fontId="2" fillId="0" borderId="43" xfId="3" applyFont="1" applyBorder="1" applyAlignment="1">
      <alignment horizontal="center" vertical="center"/>
    </xf>
    <xf numFmtId="0" fontId="2" fillId="0" borderId="44" xfId="3" applyFont="1" applyBorder="1" applyAlignment="1">
      <alignment horizontal="center" vertical="center"/>
    </xf>
    <xf numFmtId="0" fontId="2" fillId="0" borderId="45" xfId="3" applyFont="1" applyBorder="1" applyAlignment="1">
      <alignment horizontal="center" vertical="center"/>
    </xf>
    <xf numFmtId="189" fontId="15" fillId="0" borderId="46" xfId="3" applyNumberFormat="1" applyFont="1" applyBorder="1" applyAlignment="1">
      <alignment horizontal="center" vertical="center"/>
    </xf>
    <xf numFmtId="189" fontId="15" fillId="0" borderId="47" xfId="3" applyNumberFormat="1" applyFont="1" applyBorder="1" applyAlignment="1">
      <alignment horizontal="center" vertical="center"/>
    </xf>
    <xf numFmtId="189" fontId="15" fillId="0" borderId="48" xfId="3" applyNumberFormat="1" applyFont="1" applyBorder="1" applyAlignment="1">
      <alignment horizontal="center" vertical="center"/>
    </xf>
    <xf numFmtId="189" fontId="15" fillId="0" borderId="49" xfId="3" applyNumberFormat="1" applyFont="1" applyBorder="1" applyAlignment="1">
      <alignment horizontal="center" vertical="center"/>
    </xf>
    <xf numFmtId="214" fontId="14" fillId="0" borderId="50" xfId="3" applyNumberFormat="1" applyFont="1" applyBorder="1" applyAlignment="1">
      <alignment horizontal="center" vertical="center"/>
    </xf>
    <xf numFmtId="183" fontId="13" fillId="0" borderId="51" xfId="3" applyNumberFormat="1" applyFont="1" applyBorder="1" applyAlignment="1">
      <alignment horizontal="center" vertical="center"/>
    </xf>
    <xf numFmtId="188" fontId="12" fillId="0" borderId="51" xfId="3" applyNumberFormat="1" applyFont="1" applyBorder="1" applyAlignment="1">
      <alignment horizontal="center" vertical="center"/>
    </xf>
    <xf numFmtId="175" fontId="11" fillId="0" borderId="51" xfId="3" applyNumberFormat="1" applyFont="1" applyBorder="1" applyAlignment="1">
      <alignment horizontal="center" vertical="center"/>
    </xf>
    <xf numFmtId="177" fontId="11" fillId="0" borderId="51" xfId="3" applyNumberFormat="1" applyFont="1" applyBorder="1" applyAlignment="1">
      <alignment horizontal="center" vertical="center"/>
    </xf>
    <xf numFmtId="175" fontId="2" fillId="0" borderId="52" xfId="3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3" applyFont="1" applyAlignment="1">
      <alignment horizontal="left" vertical="top"/>
    </xf>
    <xf numFmtId="0" fontId="22" fillId="0" borderId="0" xfId="1" applyFont="1" applyAlignment="1" applyProtection="1">
      <alignment vertical="top"/>
    </xf>
    <xf numFmtId="0" fontId="24" fillId="0" borderId="27" xfId="1" applyFont="1" applyBorder="1" applyProtection="1">
      <alignment vertical="center"/>
    </xf>
    <xf numFmtId="10" fontId="24" fillId="0" borderId="28" xfId="1" applyNumberFormat="1" applyFont="1" applyBorder="1" applyAlignment="1" applyProtection="1">
      <alignment horizontal="center" vertical="center"/>
    </xf>
    <xf numFmtId="206" fontId="24" fillId="0" borderId="28" xfId="1" applyNumberFormat="1" applyFont="1" applyBorder="1" applyAlignment="1" applyProtection="1">
      <alignment horizontal="center" vertical="center"/>
    </xf>
    <xf numFmtId="204" fontId="24" fillId="0" borderId="28" xfId="1" applyNumberFormat="1" applyFont="1" applyBorder="1" applyAlignment="1" applyProtection="1">
      <alignment horizontal="center" vertical="center"/>
    </xf>
    <xf numFmtId="205" fontId="24" fillId="0" borderId="28" xfId="1" applyNumberFormat="1" applyFont="1" applyBorder="1" applyAlignment="1" applyProtection="1">
      <alignment horizontal="center" vertical="center"/>
    </xf>
    <xf numFmtId="192" fontId="24" fillId="0" borderId="29" xfId="1" applyNumberFormat="1" applyFont="1" applyBorder="1" applyProtection="1">
      <alignment vertical="center"/>
    </xf>
    <xf numFmtId="0" fontId="24" fillId="0" borderId="15" xfId="1" applyFont="1" applyBorder="1" applyProtection="1">
      <alignment vertical="center"/>
    </xf>
    <xf numFmtId="10" fontId="24" fillId="0" borderId="16" xfId="1" applyNumberFormat="1" applyFont="1" applyBorder="1" applyAlignment="1" applyProtection="1">
      <alignment horizontal="center" vertical="center"/>
    </xf>
    <xf numFmtId="206" fontId="24" fillId="0" borderId="16" xfId="1" applyNumberFormat="1" applyFont="1" applyBorder="1" applyAlignment="1" applyProtection="1">
      <alignment horizontal="center" vertical="center"/>
    </xf>
    <xf numFmtId="204" fontId="24" fillId="0" borderId="16" xfId="1" applyNumberFormat="1" applyFont="1" applyBorder="1" applyAlignment="1" applyProtection="1">
      <alignment horizontal="center" vertical="center"/>
    </xf>
    <xf numFmtId="205" fontId="24" fillId="0" borderId="16" xfId="1" applyNumberFormat="1" applyFont="1" applyBorder="1" applyAlignment="1" applyProtection="1">
      <alignment horizontal="center" vertical="center"/>
    </xf>
    <xf numFmtId="192" fontId="24" fillId="0" borderId="17" xfId="1" applyNumberFormat="1" applyFont="1" applyBorder="1" applyProtection="1">
      <alignment vertical="center"/>
    </xf>
    <xf numFmtId="0" fontId="24" fillId="0" borderId="18" xfId="1" applyFont="1" applyBorder="1" applyProtection="1">
      <alignment vertical="center"/>
    </xf>
    <xf numFmtId="10" fontId="24" fillId="0" borderId="19" xfId="1" applyNumberFormat="1" applyFont="1" applyBorder="1" applyAlignment="1" applyProtection="1">
      <alignment horizontal="center" vertical="center"/>
    </xf>
    <xf numFmtId="206" fontId="24" fillId="0" borderId="19" xfId="1" applyNumberFormat="1" applyFont="1" applyBorder="1" applyAlignment="1" applyProtection="1">
      <alignment horizontal="center" vertical="center"/>
    </xf>
    <xf numFmtId="204" fontId="24" fillId="0" borderId="19" xfId="1" applyNumberFormat="1" applyFont="1" applyBorder="1" applyAlignment="1" applyProtection="1">
      <alignment horizontal="center" vertical="center"/>
    </xf>
    <xf numFmtId="205" fontId="24" fillId="0" borderId="19" xfId="1" applyNumberFormat="1" applyFont="1" applyBorder="1" applyAlignment="1" applyProtection="1">
      <alignment horizontal="center" vertical="center"/>
    </xf>
    <xf numFmtId="192" fontId="24" fillId="0" borderId="20" xfId="1" applyNumberFormat="1" applyFont="1" applyBorder="1" applyProtection="1">
      <alignment vertical="center"/>
    </xf>
    <xf numFmtId="0" fontId="24" fillId="0" borderId="0" xfId="1" applyFont="1" applyProtection="1">
      <alignment vertical="center"/>
    </xf>
    <xf numFmtId="192" fontId="24" fillId="0" borderId="53" xfId="1" applyNumberFormat="1" applyFont="1" applyBorder="1" applyProtection="1">
      <alignment vertical="center"/>
    </xf>
    <xf numFmtId="0" fontId="24" fillId="0" borderId="0" xfId="1" applyFont="1" applyBorder="1" applyAlignment="1" applyProtection="1">
      <alignment horizontal="center" vertical="center"/>
    </xf>
    <xf numFmtId="174" fontId="24" fillId="0" borderId="0" xfId="1" applyNumberFormat="1" applyFont="1" applyBorder="1" applyAlignment="1" applyProtection="1">
      <alignment horizontal="center" vertical="center"/>
    </xf>
    <xf numFmtId="0" fontId="24" fillId="0" borderId="0" xfId="1" applyFont="1" applyAlignment="1" applyProtection="1">
      <alignment horizontal="center" vertical="center"/>
    </xf>
    <xf numFmtId="174" fontId="24" fillId="2" borderId="11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Border="1" applyProtection="1">
      <alignment vertical="center"/>
    </xf>
    <xf numFmtId="208" fontId="2" fillId="2" borderId="2" xfId="2" applyNumberFormat="1" applyFont="1" applyFill="1" applyBorder="1" applyAlignment="1" applyProtection="1">
      <alignment horizontal="center" vertical="center"/>
      <protection locked="0"/>
    </xf>
    <xf numFmtId="213" fontId="10" fillId="0" borderId="54" xfId="3" applyNumberFormat="1" applyFont="1" applyBorder="1" applyAlignment="1">
      <alignment horizontal="right" vertical="center"/>
    </xf>
    <xf numFmtId="166" fontId="2" fillId="0" borderId="40" xfId="3" applyNumberFormat="1" applyFont="1" applyBorder="1" applyAlignment="1">
      <alignment horizontal="center" vertical="center"/>
    </xf>
    <xf numFmtId="166" fontId="2" fillId="0" borderId="55" xfId="3" applyNumberFormat="1" applyFont="1" applyBorder="1" applyAlignment="1">
      <alignment horizontal="center" vertical="center"/>
    </xf>
    <xf numFmtId="166" fontId="2" fillId="0" borderId="56" xfId="3" applyNumberFormat="1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166" fontId="11" fillId="0" borderId="31" xfId="3" applyNumberFormat="1" applyFont="1" applyBorder="1" applyAlignment="1">
      <alignment horizontal="center" vertical="center"/>
    </xf>
    <xf numFmtId="166" fontId="11" fillId="0" borderId="32" xfId="3" applyNumberFormat="1" applyFont="1" applyBorder="1" applyAlignment="1">
      <alignment horizontal="center" vertical="center"/>
    </xf>
    <xf numFmtId="166" fontId="11" fillId="0" borderId="33" xfId="3" applyNumberFormat="1" applyFont="1" applyBorder="1" applyAlignment="1">
      <alignment horizontal="center" vertical="center"/>
    </xf>
    <xf numFmtId="0" fontId="14" fillId="0" borderId="41" xfId="3" applyFont="1" applyBorder="1" applyAlignment="1">
      <alignment horizontal="center" vertical="center"/>
    </xf>
    <xf numFmtId="0" fontId="13" fillId="0" borderId="57" xfId="3" applyFont="1" applyBorder="1" applyAlignment="1">
      <alignment horizontal="center" vertical="center"/>
    </xf>
    <xf numFmtId="0" fontId="12" fillId="0" borderId="41" xfId="3" applyFont="1" applyBorder="1" applyAlignment="1">
      <alignment horizontal="center" vertical="center"/>
    </xf>
    <xf numFmtId="170" fontId="13" fillId="0" borderId="31" xfId="3" applyNumberFormat="1" applyFont="1" applyBorder="1" applyAlignment="1">
      <alignment horizontal="center" vertical="center"/>
    </xf>
    <xf numFmtId="170" fontId="13" fillId="0" borderId="32" xfId="3" applyNumberFormat="1" applyFont="1" applyBorder="1" applyAlignment="1">
      <alignment horizontal="center" vertical="center"/>
    </xf>
    <xf numFmtId="170" fontId="13" fillId="0" borderId="33" xfId="3" applyNumberFormat="1" applyFont="1" applyBorder="1" applyAlignment="1">
      <alignment horizontal="center" vertical="center"/>
    </xf>
    <xf numFmtId="183" fontId="12" fillId="0" borderId="58" xfId="3" applyNumberFormat="1" applyFont="1" applyBorder="1" applyAlignment="1">
      <alignment horizontal="center" vertical="center"/>
    </xf>
    <xf numFmtId="183" fontId="12" fillId="0" borderId="59" xfId="3" applyNumberFormat="1" applyFont="1" applyBorder="1" applyAlignment="1">
      <alignment horizontal="center" vertical="center"/>
    </xf>
    <xf numFmtId="183" fontId="12" fillId="0" borderId="60" xfId="3" applyNumberFormat="1" applyFont="1" applyBorder="1" applyAlignment="1">
      <alignment horizontal="center" vertical="center"/>
    </xf>
    <xf numFmtId="170" fontId="14" fillId="0" borderId="58" xfId="3" applyNumberFormat="1" applyFont="1" applyBorder="1" applyAlignment="1">
      <alignment horizontal="center" vertical="center"/>
    </xf>
    <xf numFmtId="170" fontId="14" fillId="0" borderId="59" xfId="3" applyNumberFormat="1" applyFont="1" applyBorder="1" applyAlignment="1">
      <alignment horizontal="center" vertical="center"/>
    </xf>
    <xf numFmtId="170" fontId="14" fillId="0" borderId="6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189" fontId="15" fillId="0" borderId="31" xfId="3" applyNumberFormat="1" applyFont="1" applyBorder="1" applyAlignment="1">
      <alignment horizontal="center" vertical="center"/>
    </xf>
    <xf numFmtId="189" fontId="15" fillId="0" borderId="32" xfId="3" applyNumberFormat="1" applyFont="1" applyBorder="1" applyAlignment="1">
      <alignment horizontal="center" vertical="center"/>
    </xf>
    <xf numFmtId="189" fontId="15" fillId="0" borderId="33" xfId="3" applyNumberFormat="1" applyFont="1" applyBorder="1" applyAlignment="1">
      <alignment horizontal="center" vertical="center"/>
    </xf>
    <xf numFmtId="196" fontId="2" fillId="2" borderId="63" xfId="2" applyNumberFormat="1" applyFont="1" applyFill="1" applyBorder="1" applyAlignment="1" applyProtection="1">
      <alignment horizontal="center" vertical="center"/>
      <protection locked="0"/>
    </xf>
    <xf numFmtId="216" fontId="2" fillId="2" borderId="2" xfId="2" applyNumberFormat="1" applyFont="1" applyFill="1" applyBorder="1" applyAlignment="1" applyProtection="1">
      <alignment horizontal="center" vertical="center"/>
      <protection locked="0"/>
    </xf>
    <xf numFmtId="217" fontId="10" fillId="0" borderId="9" xfId="3" applyNumberFormat="1" applyFont="1" applyBorder="1" applyAlignment="1">
      <alignment horizontal="center" vertical="center"/>
    </xf>
    <xf numFmtId="210" fontId="10" fillId="0" borderId="8" xfId="3" applyNumberFormat="1" applyFont="1" applyBorder="1" applyAlignment="1">
      <alignment horizontal="center" vertical="center"/>
    </xf>
    <xf numFmtId="219" fontId="10" fillId="0" borderId="8" xfId="3" applyNumberFormat="1" applyFont="1" applyBorder="1" applyAlignment="1">
      <alignment horizontal="center" vertical="center"/>
    </xf>
    <xf numFmtId="0" fontId="1" fillId="0" borderId="0" xfId="4" applyAlignment="1">
      <alignment horizontal="center"/>
    </xf>
    <xf numFmtId="0" fontId="1" fillId="0" borderId="0" xfId="4"/>
    <xf numFmtId="1" fontId="1" fillId="0" borderId="0" xfId="4" applyNumberFormat="1" applyAlignment="1">
      <alignment horizontal="center"/>
    </xf>
    <xf numFmtId="0" fontId="26" fillId="0" borderId="31" xfId="4" applyFont="1" applyBorder="1" applyAlignment="1">
      <alignment horizontal="center" vertical="center"/>
    </xf>
    <xf numFmtId="0" fontId="26" fillId="0" borderId="69" xfId="4" applyFont="1" applyBorder="1" applyAlignment="1">
      <alignment horizontal="center" vertical="center"/>
    </xf>
    <xf numFmtId="0" fontId="26" fillId="0" borderId="70" xfId="4" applyFont="1" applyBorder="1" applyAlignment="1">
      <alignment horizontal="center" vertical="center"/>
    </xf>
    <xf numFmtId="204" fontId="24" fillId="2" borderId="28" xfId="1" applyNumberFormat="1" applyFont="1" applyFill="1" applyBorder="1" applyAlignment="1" applyProtection="1">
      <alignment horizontal="center" vertical="center"/>
      <protection locked="0"/>
    </xf>
    <xf numFmtId="204" fontId="24" fillId="2" borderId="16" xfId="1" applyNumberFormat="1" applyFont="1" applyFill="1" applyBorder="1" applyAlignment="1" applyProtection="1">
      <alignment horizontal="center" vertical="center"/>
      <protection locked="0"/>
    </xf>
    <xf numFmtId="204" fontId="24" fillId="2" borderId="19" xfId="1" applyNumberFormat="1" applyFont="1" applyFill="1" applyBorder="1" applyAlignment="1" applyProtection="1">
      <alignment horizontal="center" vertical="center"/>
      <protection locked="0"/>
    </xf>
    <xf numFmtId="14" fontId="28" fillId="2" borderId="27" xfId="1" applyNumberFormat="1" applyFont="1" applyFill="1" applyBorder="1" applyAlignment="1" applyProtection="1">
      <alignment horizontal="center" vertical="center"/>
      <protection locked="0"/>
    </xf>
    <xf numFmtId="14" fontId="29" fillId="0" borderId="28" xfId="4" applyNumberFormat="1" applyFont="1" applyBorder="1" applyAlignment="1">
      <alignment horizontal="center" vertical="center"/>
    </xf>
    <xf numFmtId="222" fontId="28" fillId="2" borderId="28" xfId="1" applyNumberFormat="1" applyFont="1" applyFill="1" applyBorder="1" applyAlignment="1" applyProtection="1">
      <alignment horizontal="center" vertical="center"/>
      <protection locked="0"/>
    </xf>
    <xf numFmtId="220" fontId="29" fillId="0" borderId="28" xfId="4" applyNumberFormat="1" applyFont="1" applyBorder="1" applyAlignment="1">
      <alignment horizontal="center" vertical="center"/>
    </xf>
    <xf numFmtId="221" fontId="29" fillId="0" borderId="29" xfId="4" applyNumberFormat="1" applyFont="1" applyBorder="1" applyAlignment="1">
      <alignment horizontal="center" vertical="center"/>
    </xf>
    <xf numFmtId="14" fontId="29" fillId="0" borderId="15" xfId="4" applyNumberFormat="1" applyFont="1" applyBorder="1" applyAlignment="1">
      <alignment horizontal="center" vertical="center"/>
    </xf>
    <xf numFmtId="14" fontId="29" fillId="0" borderId="16" xfId="4" applyNumberFormat="1" applyFont="1" applyBorder="1" applyAlignment="1">
      <alignment horizontal="center" vertical="center"/>
    </xf>
    <xf numFmtId="222" fontId="28" fillId="2" borderId="16" xfId="1" applyNumberFormat="1" applyFont="1" applyFill="1" applyBorder="1" applyAlignment="1" applyProtection="1">
      <alignment horizontal="center" vertical="center"/>
      <protection locked="0"/>
    </xf>
    <xf numFmtId="220" fontId="29" fillId="0" borderId="16" xfId="4" applyNumberFormat="1" applyFont="1" applyBorder="1" applyAlignment="1">
      <alignment horizontal="center" vertical="center"/>
    </xf>
    <xf numFmtId="221" fontId="29" fillId="0" borderId="17" xfId="4" applyNumberFormat="1" applyFont="1" applyBorder="1" applyAlignment="1">
      <alignment horizontal="center" vertical="center"/>
    </xf>
    <xf numFmtId="0" fontId="29" fillId="0" borderId="18" xfId="4" applyFont="1" applyBorder="1" applyAlignment="1">
      <alignment horizontal="center" vertical="center"/>
    </xf>
    <xf numFmtId="0" fontId="29" fillId="0" borderId="19" xfId="4" applyFont="1" applyBorder="1" applyAlignment="1">
      <alignment horizontal="center" vertical="center"/>
    </xf>
    <xf numFmtId="1" fontId="29" fillId="0" borderId="19" xfId="4" applyNumberFormat="1" applyFont="1" applyBorder="1" applyAlignment="1">
      <alignment horizontal="center" vertical="center"/>
    </xf>
    <xf numFmtId="221" fontId="29" fillId="0" borderId="20" xfId="4" applyNumberFormat="1" applyFont="1" applyBorder="1" applyAlignment="1">
      <alignment horizontal="center" vertical="center"/>
    </xf>
    <xf numFmtId="201" fontId="0" fillId="0" borderId="16" xfId="0" applyNumberFormat="1" applyBorder="1" applyAlignment="1">
      <alignment horizontal="center" vertical="center"/>
    </xf>
    <xf numFmtId="166" fontId="0" fillId="4" borderId="16" xfId="0" applyNumberFormat="1" applyFill="1" applyBorder="1" applyAlignment="1" applyProtection="1">
      <alignment horizontal="center" vertical="center"/>
      <protection locked="0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201" fontId="0" fillId="0" borderId="28" xfId="0" applyNumberFormat="1" applyBorder="1" applyAlignment="1">
      <alignment horizontal="center" vertical="center"/>
    </xf>
    <xf numFmtId="166" fontId="0" fillId="4" borderId="28" xfId="0" applyNumberFormat="1" applyFill="1" applyBorder="1" applyAlignment="1" applyProtection="1">
      <alignment horizontal="center" vertical="center"/>
      <protection locked="0"/>
    </xf>
    <xf numFmtId="183" fontId="0" fillId="0" borderId="29" xfId="0" applyNumberFormat="1" applyBorder="1" applyAlignment="1">
      <alignment horizontal="center" vertical="center"/>
    </xf>
    <xf numFmtId="183" fontId="0" fillId="0" borderId="17" xfId="0" applyNumberForma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00" fontId="0" fillId="0" borderId="28" xfId="0" applyNumberFormat="1" applyFill="1" applyBorder="1" applyAlignment="1" applyProtection="1">
      <alignment horizontal="center" vertical="center"/>
    </xf>
    <xf numFmtId="200" fontId="0" fillId="0" borderId="16" xfId="0" applyNumberFormat="1" applyFill="1" applyBorder="1" applyAlignment="1" applyProtection="1">
      <alignment horizontal="center" vertical="center"/>
    </xf>
    <xf numFmtId="200" fontId="0" fillId="0" borderId="19" xfId="0" applyNumberFormat="1" applyFill="1" applyBorder="1" applyAlignment="1" applyProtection="1">
      <alignment horizontal="center" vertical="center"/>
    </xf>
    <xf numFmtId="0" fontId="0" fillId="0" borderId="53" xfId="0" applyBorder="1" applyAlignment="1">
      <alignment horizontal="center" vertical="center"/>
    </xf>
    <xf numFmtId="173" fontId="0" fillId="0" borderId="22" xfId="0" applyNumberForma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173" fontId="0" fillId="0" borderId="0" xfId="0" applyNumberFormat="1" applyFill="1" applyBorder="1" applyAlignment="1" applyProtection="1">
      <alignment horizontal="center" vertical="center"/>
    </xf>
    <xf numFmtId="183" fontId="0" fillId="0" borderId="0" xfId="0" applyNumberFormat="1" applyBorder="1" applyAlignment="1">
      <alignment horizontal="center" vertical="center"/>
    </xf>
    <xf numFmtId="9" fontId="0" fillId="0" borderId="72" xfId="0" applyNumberFormat="1" applyBorder="1" applyAlignment="1">
      <alignment horizontal="center" vertical="center"/>
    </xf>
    <xf numFmtId="9" fontId="0" fillId="0" borderId="73" xfId="0" applyNumberFormat="1" applyBorder="1" applyAlignment="1">
      <alignment horizontal="center" vertical="center"/>
    </xf>
    <xf numFmtId="191" fontId="0" fillId="4" borderId="22" xfId="0" applyNumberFormat="1" applyFill="1" applyBorder="1" applyAlignment="1" applyProtection="1">
      <alignment horizontal="center" vertical="center"/>
      <protection locked="0"/>
    </xf>
    <xf numFmtId="170" fontId="0" fillId="0" borderId="22" xfId="0" applyNumberFormat="1" applyBorder="1" applyAlignment="1">
      <alignment horizontal="center" vertical="center"/>
    </xf>
    <xf numFmtId="183" fontId="0" fillId="5" borderId="22" xfId="0" applyNumberFormat="1" applyFill="1" applyBorder="1" applyAlignment="1" applyProtection="1">
      <alignment horizontal="center" vertical="center"/>
    </xf>
    <xf numFmtId="183" fontId="0" fillId="5" borderId="23" xfId="0" applyNumberForma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203" fontId="0" fillId="4" borderId="39" xfId="0" applyNumberForma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203" fontId="0" fillId="0" borderId="27" xfId="0" applyNumberFormat="1" applyFill="1" applyBorder="1" applyAlignment="1" applyProtection="1">
      <alignment horizontal="center" vertical="center"/>
    </xf>
    <xf numFmtId="203" fontId="0" fillId="0" borderId="15" xfId="0" applyNumberFormat="1" applyFill="1" applyBorder="1" applyAlignment="1" applyProtection="1">
      <alignment horizontal="center" vertical="center"/>
    </xf>
    <xf numFmtId="203" fontId="0" fillId="0" borderId="18" xfId="0" applyNumberFormat="1" applyFill="1" applyBorder="1" applyAlignment="1" applyProtection="1">
      <alignment horizontal="center" vertical="center"/>
    </xf>
    <xf numFmtId="203" fontId="0" fillId="0" borderId="75" xfId="0" applyNumberFormat="1" applyFill="1" applyBorder="1" applyAlignment="1" applyProtection="1">
      <alignment horizontal="center" vertical="center"/>
    </xf>
    <xf numFmtId="179" fontId="0" fillId="0" borderId="23" xfId="0" applyNumberFormat="1" applyBorder="1" applyAlignment="1">
      <alignment horizontal="center" vertical="center"/>
    </xf>
    <xf numFmtId="224" fontId="0" fillId="0" borderId="22" xfId="0" applyNumberFormat="1" applyBorder="1" applyAlignment="1">
      <alignment horizontal="center" vertical="center"/>
    </xf>
    <xf numFmtId="0" fontId="0" fillId="0" borderId="22" xfId="0" applyNumberFormat="1" applyFill="1" applyBorder="1" applyAlignment="1" applyProtection="1">
      <alignment horizontal="center" vertical="center"/>
    </xf>
    <xf numFmtId="203" fontId="0" fillId="0" borderId="0" xfId="0" applyNumberFormat="1" applyFill="1" applyBorder="1" applyAlignment="1" applyProtection="1">
      <alignment horizontal="center" vertical="center"/>
    </xf>
    <xf numFmtId="223" fontId="0" fillId="0" borderId="0" xfId="0" applyNumberFormat="1" applyFill="1" applyBorder="1" applyAlignment="1" applyProtection="1">
      <alignment horizontal="center" vertical="center"/>
    </xf>
    <xf numFmtId="199" fontId="0" fillId="0" borderId="0" xfId="0" applyNumberFormat="1" applyFill="1" applyBorder="1" applyAlignment="1" applyProtection="1">
      <alignment horizontal="center" vertical="center"/>
    </xf>
    <xf numFmtId="168" fontId="3" fillId="5" borderId="0" xfId="0" applyNumberFormat="1" applyFont="1" applyFill="1" applyAlignment="1" applyProtection="1">
      <alignment horizontal="left" vertical="center" indent="1"/>
    </xf>
    <xf numFmtId="0" fontId="3" fillId="5" borderId="0" xfId="0" applyFont="1" applyFill="1" applyAlignment="1" applyProtection="1">
      <alignment horizontal="left" vertical="center" indent="1"/>
    </xf>
    <xf numFmtId="171" fontId="3" fillId="5" borderId="0" xfId="0" applyNumberFormat="1" applyFont="1" applyFill="1" applyAlignment="1" applyProtection="1">
      <alignment horizontal="left" vertical="center" indent="1"/>
    </xf>
    <xf numFmtId="0" fontId="7" fillId="0" borderId="1" xfId="2" applyFont="1" applyBorder="1" applyAlignment="1">
      <alignment horizontal="center" vertical="center"/>
    </xf>
    <xf numFmtId="176" fontId="10" fillId="0" borderId="78" xfId="3" applyNumberFormat="1" applyFont="1" applyBorder="1" applyAlignment="1">
      <alignment horizontal="center" vertical="center"/>
    </xf>
    <xf numFmtId="0" fontId="2" fillId="0" borderId="82" xfId="3" applyFont="1" applyBorder="1" applyAlignment="1">
      <alignment horizontal="center" vertical="center"/>
    </xf>
    <xf numFmtId="0" fontId="2" fillId="0" borderId="77" xfId="3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3" applyFont="1" applyBorder="1" applyAlignment="1">
      <alignment horizontal="center" vertical="center"/>
    </xf>
    <xf numFmtId="181" fontId="10" fillId="0" borderId="79" xfId="3" applyNumberFormat="1" applyFont="1" applyBorder="1" applyAlignment="1">
      <alignment horizontal="center" vertical="center"/>
    </xf>
    <xf numFmtId="197" fontId="10" fillId="0" borderId="81" xfId="3" applyNumberFormat="1" applyFont="1" applyBorder="1" applyAlignment="1">
      <alignment horizontal="center" vertical="center"/>
    </xf>
    <xf numFmtId="0" fontId="2" fillId="0" borderId="88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176" fontId="2" fillId="0" borderId="89" xfId="3" applyNumberFormat="1" applyFont="1" applyBorder="1" applyAlignment="1">
      <alignment horizontal="center" vertical="center"/>
    </xf>
    <xf numFmtId="225" fontId="2" fillId="0" borderId="86" xfId="3" applyNumberFormat="1" applyFont="1" applyBorder="1" applyAlignment="1">
      <alignment horizontal="center" vertical="center"/>
    </xf>
    <xf numFmtId="200" fontId="2" fillId="0" borderId="79" xfId="0" applyNumberFormat="1" applyFont="1" applyBorder="1" applyAlignment="1">
      <alignment horizontal="center" vertical="center"/>
    </xf>
    <xf numFmtId="170" fontId="2" fillId="0" borderId="80" xfId="0" applyNumberFormat="1" applyFont="1" applyBorder="1" applyAlignment="1">
      <alignment horizontal="center" vertical="center"/>
    </xf>
    <xf numFmtId="200" fontId="2" fillId="0" borderId="81" xfId="3" applyNumberFormat="1" applyFont="1" applyBorder="1" applyAlignment="1">
      <alignment horizontal="center" vertical="center"/>
    </xf>
    <xf numFmtId="176" fontId="2" fillId="0" borderId="90" xfId="3" applyNumberFormat="1" applyFont="1" applyBorder="1" applyAlignment="1">
      <alignment horizontal="center" vertical="center"/>
    </xf>
    <xf numFmtId="225" fontId="2" fillId="0" borderId="65" xfId="3" applyNumberFormat="1" applyFont="1" applyBorder="1" applyAlignment="1">
      <alignment horizontal="center" vertical="center"/>
    </xf>
    <xf numFmtId="170" fontId="2" fillId="0" borderId="9" xfId="0" applyNumberFormat="1" applyFont="1" applyBorder="1" applyAlignment="1">
      <alignment horizontal="center" vertical="center"/>
    </xf>
    <xf numFmtId="170" fontId="2" fillId="0" borderId="34" xfId="0" applyNumberFormat="1" applyFont="1" applyBorder="1" applyAlignment="1">
      <alignment horizontal="center" vertical="center"/>
    </xf>
    <xf numFmtId="200" fontId="2" fillId="0" borderId="8" xfId="3" applyNumberFormat="1" applyFont="1" applyBorder="1" applyAlignment="1">
      <alignment horizontal="center" vertical="center"/>
    </xf>
    <xf numFmtId="220" fontId="2" fillId="0" borderId="8" xfId="3" applyNumberFormat="1" applyFont="1" applyBorder="1" applyAlignment="1">
      <alignment horizontal="center" vertical="center"/>
    </xf>
    <xf numFmtId="176" fontId="2" fillId="0" borderId="91" xfId="3" applyNumberFormat="1" applyFont="1" applyBorder="1" applyAlignment="1">
      <alignment horizontal="center" vertical="center"/>
    </xf>
    <xf numFmtId="225" fontId="2" fillId="0" borderId="67" xfId="3" applyNumberFormat="1" applyFont="1" applyBorder="1" applyAlignment="1">
      <alignment horizontal="center" vertical="center"/>
    </xf>
    <xf numFmtId="170" fontId="2" fillId="0" borderId="3" xfId="0" applyNumberFormat="1" applyFont="1" applyBorder="1" applyAlignment="1">
      <alignment horizontal="center" vertical="center"/>
    </xf>
    <xf numFmtId="170" fontId="2" fillId="0" borderId="76" xfId="0" applyNumberFormat="1" applyFont="1" applyBorder="1" applyAlignment="1">
      <alignment horizontal="center" vertical="center"/>
    </xf>
    <xf numFmtId="220" fontId="2" fillId="0" borderId="24" xfId="3" applyNumberFormat="1" applyFont="1" applyBorder="1" applyAlignment="1">
      <alignment horizontal="center" vertical="center"/>
    </xf>
    <xf numFmtId="169" fontId="24" fillId="5" borderId="0" xfId="1" applyNumberFormat="1" applyFont="1" applyFill="1" applyBorder="1" applyAlignment="1" applyProtection="1">
      <alignment horizontal="center" vertical="center"/>
    </xf>
    <xf numFmtId="177" fontId="24" fillId="5" borderId="0" xfId="1" applyNumberFormat="1" applyFont="1" applyFill="1" applyBorder="1" applyAlignment="1" applyProtection="1">
      <alignment horizontal="center" vertical="center"/>
    </xf>
    <xf numFmtId="0" fontId="4" fillId="0" borderId="0" xfId="1" applyBorder="1" applyProtection="1">
      <alignment vertical="center"/>
    </xf>
    <xf numFmtId="0" fontId="24" fillId="0" borderId="32" xfId="1" applyFont="1" applyBorder="1" applyAlignment="1" applyProtection="1">
      <alignment horizontal="center" vertical="center"/>
    </xf>
    <xf numFmtId="171" fontId="24" fillId="5" borderId="0" xfId="1" applyNumberFormat="1" applyFont="1" applyFill="1" applyBorder="1" applyAlignment="1" applyProtection="1">
      <alignment horizontal="center" vertical="center"/>
    </xf>
    <xf numFmtId="0" fontId="24" fillId="0" borderId="31" xfId="1" applyFont="1" applyBorder="1" applyAlignment="1" applyProtection="1">
      <alignment horizontal="center" vertical="center"/>
    </xf>
    <xf numFmtId="0" fontId="24" fillId="0" borderId="33" xfId="1" applyFont="1" applyBorder="1" applyAlignment="1" applyProtection="1">
      <alignment horizontal="center" vertical="center"/>
    </xf>
    <xf numFmtId="10" fontId="24" fillId="5" borderId="29" xfId="1" applyNumberFormat="1" applyFont="1" applyFill="1" applyBorder="1" applyAlignment="1" applyProtection="1">
      <alignment horizontal="center" vertical="center"/>
    </xf>
    <xf numFmtId="0" fontId="24" fillId="0" borderId="17" xfId="1" applyFont="1" applyBorder="1" applyProtection="1">
      <alignment vertical="center"/>
    </xf>
    <xf numFmtId="227" fontId="24" fillId="2" borderId="17" xfId="1" applyNumberFormat="1" applyFont="1" applyFill="1" applyBorder="1" applyAlignment="1" applyProtection="1">
      <alignment horizontal="center" vertical="center"/>
      <protection locked="0"/>
    </xf>
    <xf numFmtId="226" fontId="24" fillId="0" borderId="17" xfId="1" applyNumberFormat="1" applyFont="1" applyBorder="1" applyAlignment="1" applyProtection="1">
      <alignment horizontal="center" vertical="center"/>
    </xf>
    <xf numFmtId="169" fontId="24" fillId="0" borderId="17" xfId="1" applyNumberFormat="1" applyFont="1" applyBorder="1" applyAlignment="1" applyProtection="1">
      <alignment horizontal="center" vertical="center"/>
    </xf>
    <xf numFmtId="177" fontId="24" fillId="0" borderId="20" xfId="1" applyNumberFormat="1" applyFont="1" applyBorder="1" applyAlignment="1" applyProtection="1">
      <alignment horizontal="center" vertical="center"/>
    </xf>
    <xf numFmtId="174" fontId="24" fillId="2" borderId="92" xfId="1" applyNumberFormat="1" applyFont="1" applyFill="1" applyBorder="1" applyAlignment="1" applyProtection="1">
      <alignment horizontal="center" vertical="center"/>
      <protection locked="0"/>
    </xf>
    <xf numFmtId="10" fontId="24" fillId="2" borderId="93" xfId="1" applyNumberFormat="1" applyFont="1" applyFill="1" applyBorder="1" applyAlignment="1" applyProtection="1">
      <alignment horizontal="center" vertical="center"/>
      <protection locked="0"/>
    </xf>
    <xf numFmtId="227" fontId="24" fillId="2" borderId="93" xfId="1" applyNumberFormat="1" applyFont="1" applyFill="1" applyBorder="1" applyAlignment="1" applyProtection="1">
      <alignment horizontal="center" vertical="center"/>
      <protection locked="0"/>
    </xf>
    <xf numFmtId="228" fontId="24" fillId="0" borderId="93" xfId="1" applyNumberFormat="1" applyFont="1" applyBorder="1" applyAlignment="1" applyProtection="1">
      <alignment horizontal="center" vertical="center"/>
    </xf>
    <xf numFmtId="169" fontId="24" fillId="0" borderId="93" xfId="1" applyNumberFormat="1" applyFont="1" applyBorder="1" applyAlignment="1" applyProtection="1">
      <alignment horizontal="center" vertical="center"/>
    </xf>
    <xf numFmtId="177" fontId="24" fillId="0" borderId="94" xfId="1" applyNumberFormat="1" applyFont="1" applyBorder="1" applyAlignment="1" applyProtection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5" xfId="2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9" fillId="0" borderId="68" xfId="3" applyFont="1" applyBorder="1" applyAlignment="1">
      <alignment horizontal="center" vertical="center"/>
    </xf>
    <xf numFmtId="0" fontId="19" fillId="0" borderId="39" xfId="3" applyFont="1" applyBorder="1" applyAlignment="1">
      <alignment horizontal="center" vertical="center"/>
    </xf>
    <xf numFmtId="0" fontId="17" fillId="0" borderId="68" xfId="3" applyFont="1" applyBorder="1" applyAlignment="1">
      <alignment horizontal="center" vertical="center"/>
    </xf>
    <xf numFmtId="0" fontId="17" fillId="0" borderId="39" xfId="3" applyFont="1" applyBorder="1" applyAlignment="1">
      <alignment horizontal="center" vertical="center"/>
    </xf>
    <xf numFmtId="209" fontId="2" fillId="2" borderId="63" xfId="2" applyNumberFormat="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vertical="center"/>
    </xf>
    <xf numFmtId="170" fontId="10" fillId="0" borderId="54" xfId="3" applyNumberFormat="1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0" borderId="87" xfId="3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186" fontId="10" fillId="0" borderId="85" xfId="3" applyNumberFormat="1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186" fontId="10" fillId="0" borderId="54" xfId="3" applyNumberFormat="1" applyFont="1" applyBorder="1" applyAlignment="1">
      <alignment horizontal="center" vertical="center"/>
    </xf>
    <xf numFmtId="170" fontId="10" fillId="0" borderId="66" xfId="3" applyNumberFormat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215" fontId="10" fillId="0" borderId="54" xfId="3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18" fontId="10" fillId="0" borderId="54" xfId="3" applyNumberFormat="1" applyFont="1" applyBorder="1" applyAlignment="1">
      <alignment horizontal="center" vertical="center"/>
    </xf>
    <xf numFmtId="0" fontId="27" fillId="0" borderId="36" xfId="4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</xdr:row>
      <xdr:rowOff>38100</xdr:rowOff>
    </xdr:from>
    <xdr:to>
      <xdr:col>3</xdr:col>
      <xdr:colOff>723900</xdr:colOff>
      <xdr:row>3</xdr:row>
      <xdr:rowOff>28575</xdr:rowOff>
    </xdr:to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 bwMode="auto">
        <a:xfrm>
          <a:off x="2324100" y="914400"/>
          <a:ext cx="314325" cy="314325"/>
        </a:xfrm>
        <a:prstGeom prst="rightArrow">
          <a:avLst>
            <a:gd name="adj1" fmla="val 50000"/>
            <a:gd name="adj2" fmla="val 1742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</xdr:row>
      <xdr:rowOff>38100</xdr:rowOff>
    </xdr:from>
    <xdr:to>
      <xdr:col>3</xdr:col>
      <xdr:colOff>723900</xdr:colOff>
      <xdr:row>3</xdr:row>
      <xdr:rowOff>28575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98AB574-6F8E-4826-8966-E3B34E07A2BB}"/>
            </a:ext>
          </a:extLst>
        </xdr:cNvPr>
        <xdr:cNvSpPr>
          <a:spLocks noChangeArrowheads="1"/>
        </xdr:cNvSpPr>
      </xdr:nvSpPr>
      <xdr:spPr bwMode="auto">
        <a:xfrm>
          <a:off x="2324100" y="914400"/>
          <a:ext cx="314325" cy="314325"/>
        </a:xfrm>
        <a:prstGeom prst="rightArrow">
          <a:avLst>
            <a:gd name="adj1" fmla="val 50000"/>
            <a:gd name="adj2" fmla="val 1742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7"/>
  <sheetViews>
    <sheetView windowProtection="1" showGridLines="0" showRowColHeaders="0" workbookViewId="0">
      <selection activeCell="D11" sqref="D11"/>
    </sheetView>
  </sheetViews>
  <sheetFormatPr defaultColWidth="8.91796875" defaultRowHeight="18" x14ac:dyDescent="0.2"/>
  <cols>
    <col min="1" max="1" width="4.1484375" style="10" customWidth="1"/>
    <col min="2" max="2" width="4.875" style="10" customWidth="1"/>
    <col min="3" max="3" width="13.37890625" style="10" customWidth="1"/>
    <col min="4" max="4" width="11.3046875" style="10" customWidth="1"/>
    <col min="5" max="5" width="12.03125" style="10" customWidth="1"/>
    <col min="6" max="6" width="10.37109375" style="10" customWidth="1"/>
    <col min="7" max="7" width="17.73828125" style="10" customWidth="1"/>
    <col min="8" max="8" width="15.765625" style="10" customWidth="1"/>
    <col min="9" max="9" width="14.00390625" style="10" customWidth="1"/>
    <col min="10" max="10" width="14.10546875" style="10" customWidth="1"/>
    <col min="11" max="11" width="16.8046875" style="10" customWidth="1"/>
    <col min="12" max="13" width="12.859375" style="10" customWidth="1"/>
    <col min="14" max="14" width="12.55078125" style="10" customWidth="1"/>
    <col min="15" max="16384" width="8.91796875" style="10"/>
  </cols>
  <sheetData>
    <row r="1" spans="2:14" ht="9.9499999999999993" customHeight="1" x14ac:dyDescent="0.2"/>
    <row r="2" spans="2:14" ht="59.25" customHeight="1" thickBot="1" x14ac:dyDescent="0.25">
      <c r="D2" s="93" t="s">
        <v>17</v>
      </c>
    </row>
    <row r="3" spans="2:14" ht="25.5" customHeight="1" thickTop="1" thickBot="1" x14ac:dyDescent="0.25">
      <c r="C3" s="105" t="s">
        <v>16</v>
      </c>
      <c r="D3" s="12"/>
      <c r="E3" s="23">
        <v>60</v>
      </c>
      <c r="F3" s="70"/>
      <c r="G3" s="12"/>
      <c r="H3" s="12"/>
      <c r="I3" s="12"/>
      <c r="J3" s="12"/>
    </row>
    <row r="4" spans="2:14" ht="24.95" customHeight="1" thickTop="1" thickBot="1" x14ac:dyDescent="0.25">
      <c r="C4" s="106" t="s">
        <v>115</v>
      </c>
      <c r="D4" s="12"/>
      <c r="E4" s="22"/>
      <c r="F4" s="22"/>
      <c r="G4" s="12"/>
      <c r="H4" s="12"/>
      <c r="I4" s="12"/>
      <c r="J4" s="12"/>
      <c r="K4" s="74"/>
      <c r="L4" s="68"/>
      <c r="M4" s="68"/>
      <c r="N4" s="68"/>
    </row>
    <row r="5" spans="2:14" s="14" customFormat="1" ht="29.25" customHeight="1" thickBot="1" x14ac:dyDescent="0.25">
      <c r="B5" s="21"/>
      <c r="C5" s="21" t="s">
        <v>13</v>
      </c>
      <c r="D5" s="349" t="s">
        <v>89</v>
      </c>
      <c r="E5" s="349"/>
      <c r="F5" s="21" t="s">
        <v>99</v>
      </c>
      <c r="G5" s="79" t="s">
        <v>100</v>
      </c>
      <c r="H5" s="79" t="s">
        <v>103</v>
      </c>
      <c r="I5" s="79" t="s">
        <v>101</v>
      </c>
      <c r="J5" s="68"/>
      <c r="N5" s="75"/>
    </row>
    <row r="6" spans="2:14" s="14" customFormat="1" ht="24.95" customHeight="1" thickBot="1" x14ac:dyDescent="0.25">
      <c r="B6" s="20">
        <v>1</v>
      </c>
      <c r="C6" s="19">
        <v>150</v>
      </c>
      <c r="D6" s="16">
        <f>C6*$E$3/1000</f>
        <v>9</v>
      </c>
      <c r="E6" s="15">
        <f>D6*5</f>
        <v>45</v>
      </c>
      <c r="F6" s="78">
        <v>1</v>
      </c>
      <c r="G6" s="76">
        <v>200</v>
      </c>
      <c r="H6" s="15">
        <f>G6+E6</f>
        <v>245</v>
      </c>
      <c r="I6" s="77">
        <f>(G6+E6)/F6</f>
        <v>245</v>
      </c>
      <c r="J6" s="69"/>
      <c r="N6" s="75"/>
    </row>
    <row r="7" spans="2:14" s="14" customFormat="1" ht="24.95" customHeight="1" thickBot="1" x14ac:dyDescent="0.25">
      <c r="B7" s="18">
        <v>2</v>
      </c>
      <c r="C7" s="17">
        <v>50</v>
      </c>
      <c r="D7" s="16">
        <f>C7*$E$3/1000</f>
        <v>3</v>
      </c>
      <c r="E7" s="15">
        <f>D7*5</f>
        <v>15</v>
      </c>
      <c r="F7" s="78">
        <v>4</v>
      </c>
      <c r="G7" s="76">
        <v>500</v>
      </c>
      <c r="H7" s="15">
        <f>G7+E7</f>
        <v>515</v>
      </c>
      <c r="I7" s="77">
        <f>(G7+E7)/F7</f>
        <v>128.75</v>
      </c>
      <c r="J7" s="69"/>
      <c r="N7" s="75"/>
    </row>
    <row r="8" spans="2:14" s="14" customFormat="1" ht="24.95" customHeight="1" thickBot="1" x14ac:dyDescent="0.25">
      <c r="B8" s="18">
        <v>3</v>
      </c>
      <c r="C8" s="17">
        <v>100</v>
      </c>
      <c r="D8" s="16">
        <f>C8*$E$3/1000</f>
        <v>6</v>
      </c>
      <c r="E8" s="15">
        <f>D8*5</f>
        <v>30</v>
      </c>
      <c r="F8" s="78">
        <v>16</v>
      </c>
      <c r="G8" s="76">
        <v>1000</v>
      </c>
      <c r="H8" s="15">
        <f>G8+E8</f>
        <v>1030</v>
      </c>
      <c r="I8" s="77">
        <f>(G8+E8)/F8</f>
        <v>64.375</v>
      </c>
      <c r="J8" s="69"/>
      <c r="N8" s="75"/>
    </row>
    <row r="9" spans="2:14" ht="24.95" customHeight="1" x14ac:dyDescent="0.2">
      <c r="D9" s="12"/>
      <c r="E9" s="12"/>
      <c r="F9" s="12"/>
      <c r="G9" s="12"/>
      <c r="H9" s="12"/>
      <c r="I9" s="12"/>
      <c r="J9" s="12"/>
      <c r="K9" s="67"/>
      <c r="L9" s="67"/>
      <c r="M9" s="67"/>
      <c r="N9" s="67"/>
    </row>
    <row r="10" spans="2:14" ht="24.95" customHeight="1" thickBot="1" x14ac:dyDescent="0.25">
      <c r="B10" s="67"/>
      <c r="F10" s="66"/>
    </row>
    <row r="11" spans="2:14" ht="24.95" customHeight="1" thickTop="1" thickBot="1" x14ac:dyDescent="0.25">
      <c r="B11" s="67"/>
      <c r="C11" s="63" t="s">
        <v>91</v>
      </c>
      <c r="D11" s="71">
        <v>8000</v>
      </c>
      <c r="E11" s="66">
        <f>D11/E3</f>
        <v>133.33333333333334</v>
      </c>
      <c r="F11" s="303"/>
      <c r="G11" s="350" t="s">
        <v>104</v>
      </c>
      <c r="H11" s="351"/>
      <c r="I11" s="352"/>
    </row>
    <row r="12" spans="2:14" ht="24.95" customHeight="1" thickTop="1" thickBot="1" x14ac:dyDescent="0.25">
      <c r="B12" s="67"/>
      <c r="E12" s="67"/>
      <c r="F12" s="20"/>
      <c r="G12" s="21" t="s">
        <v>100</v>
      </c>
      <c r="H12" s="21" t="s">
        <v>102</v>
      </c>
      <c r="I12" s="21" t="s">
        <v>101</v>
      </c>
    </row>
    <row r="13" spans="2:14" ht="24.95" customHeight="1" thickTop="1" thickBot="1" x14ac:dyDescent="0.25">
      <c r="C13" s="63" t="s">
        <v>92</v>
      </c>
      <c r="D13" s="72">
        <v>7</v>
      </c>
      <c r="E13" s="13"/>
      <c r="F13" s="20">
        <v>1</v>
      </c>
      <c r="G13" s="76" t="str">
        <f>IF($E$3&lt;40,E6*3,"")</f>
        <v/>
      </c>
      <c r="H13" s="15" t="str">
        <f>IF($E$3&lt;40,E6+G13,"")</f>
        <v/>
      </c>
      <c r="I13" s="77" t="str">
        <f>IF($E$3&lt;40,(E6+G13)/F6,"")</f>
        <v/>
      </c>
    </row>
    <row r="14" spans="2:14" ht="24.95" customHeight="1" thickTop="1" thickBot="1" x14ac:dyDescent="0.25">
      <c r="C14" s="63" t="s">
        <v>90</v>
      </c>
      <c r="D14" s="73">
        <f>200/2^(D13/4)</f>
        <v>59.46035575013606</v>
      </c>
      <c r="E14" s="11"/>
      <c r="F14" s="18">
        <v>2</v>
      </c>
      <c r="G14" s="76" t="str">
        <f>IF($E$3&lt;40,E7*31,"")</f>
        <v/>
      </c>
      <c r="H14" s="15" t="str">
        <f>IF($E$3&lt;40,E7+G14,"")</f>
        <v/>
      </c>
      <c r="I14" s="77" t="str">
        <f>IF($E$3&lt;40,(E7+G14)/F7,"")</f>
        <v/>
      </c>
    </row>
    <row r="15" spans="2:14" ht="24.95" customHeight="1" thickBot="1" x14ac:dyDescent="0.25">
      <c r="F15" s="18">
        <v>3</v>
      </c>
      <c r="G15" s="76" t="str">
        <f>IF($E$3&lt;40,E8*31,"")</f>
        <v/>
      </c>
      <c r="H15" s="15" t="str">
        <f>IF($E$3&lt;40,E8+G15,"")</f>
        <v/>
      </c>
      <c r="I15" s="77" t="str">
        <f>IF($E$3&lt;40,(E8+G15)/F8,"")</f>
        <v/>
      </c>
    </row>
    <row r="16" spans="2:14" ht="24.95" customHeight="1" x14ac:dyDescent="0.2">
      <c r="C16" s="62"/>
    </row>
    <row r="17" spans="2:2" x14ac:dyDescent="0.2">
      <c r="B17" s="62" t="s">
        <v>114</v>
      </c>
    </row>
  </sheetData>
  <sheetProtection algorithmName="SHA-512" hashValue="i67kkE8U6lHuaokXJLVHCGN6AX9SqvamAEGuq2PZqCTkRXEKv+brCn6xogcGMV8hiW3YidcB7cbZo4Pe9x/gNQ==" saltValue="rco6W8J2R4x+NYXifGx3jg==" spinCount="100000" sheet="1" objects="1" scenarios="1" selectLockedCells="1"/>
  <mergeCells count="2">
    <mergeCell ref="D5:E5"/>
    <mergeCell ref="G11:I11"/>
  </mergeCells>
  <phoneticPr fontId="0" type="noConversion"/>
  <dataValidations count="1">
    <dataValidation type="whole" allowBlank="1" showInputMessage="1" showErrorMessage="1" error="Enter Integer Max 110kg" prompt="Max 110kg" sqref="E3" xr:uid="{00000000-0002-0000-0000-000000000000}">
      <formula1>1</formula1>
      <formula2>110</formula2>
    </dataValidation>
  </dataValidations>
  <printOptions horizontalCentered="1"/>
  <pageMargins left="0.31496062992125984" right="0.62992125984251968" top="0.59055118110236227" bottom="0.98425196850393704" header="0.51181102362204722" footer="0.51181102362204722"/>
  <pageSetup paperSize="9" orientation="landscape" horizontalDpi="300" verticalDpi="300" r:id="rId1"/>
  <headerFooter alignWithMargins="0">
    <oddFooter>&amp;C&amp;8Richard Pearson   &amp;D   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6"/>
  <sheetViews>
    <sheetView windowProtection="1" showGridLines="0" showRowColHeaders="0" zoomScale="115" zoomScaleNormal="115" workbookViewId="0">
      <selection activeCell="B3" sqref="B3"/>
    </sheetView>
  </sheetViews>
  <sheetFormatPr defaultRowHeight="17.25" x14ac:dyDescent="0.2"/>
  <cols>
    <col min="1" max="1" width="4.45703125" customWidth="1"/>
    <col min="2" max="7" width="11.82421875" customWidth="1"/>
  </cols>
  <sheetData>
    <row r="1" spans="1:8" ht="9.9499999999999993" customHeight="1" x14ac:dyDescent="0.2"/>
    <row r="2" spans="1:8" ht="48" customHeight="1" thickBot="1" x14ac:dyDescent="0.25">
      <c r="A2" s="46"/>
      <c r="B2" s="46"/>
      <c r="C2" s="46"/>
      <c r="D2" s="179" t="s">
        <v>82</v>
      </c>
      <c r="E2" s="46"/>
      <c r="F2" s="46"/>
      <c r="G2" s="46"/>
      <c r="H2" s="46"/>
    </row>
    <row r="3" spans="1:8" ht="22.5" customHeight="1" thickBot="1" x14ac:dyDescent="0.25">
      <c r="A3" s="46"/>
      <c r="B3" s="59" t="s">
        <v>18</v>
      </c>
      <c r="C3" s="60" t="s">
        <v>14</v>
      </c>
      <c r="D3" s="60" t="s">
        <v>29</v>
      </c>
      <c r="E3" s="60" t="s">
        <v>30</v>
      </c>
      <c r="F3" s="60" t="s">
        <v>32</v>
      </c>
      <c r="G3" s="61" t="s">
        <v>48</v>
      </c>
      <c r="H3" s="46"/>
    </row>
    <row r="4" spans="1:8" ht="22.5" customHeight="1" x14ac:dyDescent="0.2">
      <c r="A4" s="46"/>
      <c r="B4" s="47" t="s">
        <v>19</v>
      </c>
      <c r="C4" s="48">
        <v>1</v>
      </c>
      <c r="D4" s="49">
        <v>145</v>
      </c>
      <c r="E4" s="49" t="s">
        <v>31</v>
      </c>
      <c r="F4" s="49" t="s">
        <v>33</v>
      </c>
      <c r="G4" s="50" t="s">
        <v>49</v>
      </c>
      <c r="H4" s="46"/>
    </row>
    <row r="5" spans="1:8" ht="22.5" customHeight="1" x14ac:dyDescent="0.2">
      <c r="A5" s="46"/>
      <c r="B5" s="51" t="s">
        <v>19</v>
      </c>
      <c r="C5" s="52">
        <v>2</v>
      </c>
      <c r="D5" s="53">
        <v>135</v>
      </c>
      <c r="E5" s="53" t="s">
        <v>31</v>
      </c>
      <c r="F5" s="53" t="s">
        <v>38</v>
      </c>
      <c r="G5" s="54" t="s">
        <v>50</v>
      </c>
      <c r="H5" s="46"/>
    </row>
    <row r="6" spans="1:8" ht="22.5" customHeight="1" x14ac:dyDescent="0.2">
      <c r="A6" s="46"/>
      <c r="B6" s="51" t="s">
        <v>20</v>
      </c>
      <c r="C6" s="52">
        <v>3</v>
      </c>
      <c r="D6" s="53">
        <v>125</v>
      </c>
      <c r="E6" s="53" t="s">
        <v>31</v>
      </c>
      <c r="F6" s="53" t="s">
        <v>39</v>
      </c>
      <c r="G6" s="54" t="s">
        <v>51</v>
      </c>
      <c r="H6" s="46"/>
    </row>
    <row r="7" spans="1:8" ht="22.5" customHeight="1" x14ac:dyDescent="0.2">
      <c r="A7" s="46"/>
      <c r="B7" s="51" t="s">
        <v>21</v>
      </c>
      <c r="C7" s="52">
        <v>4</v>
      </c>
      <c r="D7" s="53">
        <v>120</v>
      </c>
      <c r="E7" s="53" t="s">
        <v>34</v>
      </c>
      <c r="F7" s="53" t="s">
        <v>40</v>
      </c>
      <c r="G7" s="54" t="s">
        <v>52</v>
      </c>
      <c r="H7" s="46"/>
    </row>
    <row r="8" spans="1:8" ht="22.5" customHeight="1" x14ac:dyDescent="0.2">
      <c r="A8" s="46"/>
      <c r="B8" s="51" t="s">
        <v>22</v>
      </c>
      <c r="C8" s="52">
        <v>7</v>
      </c>
      <c r="D8" s="53">
        <v>130</v>
      </c>
      <c r="E8" s="53" t="s">
        <v>34</v>
      </c>
      <c r="F8" s="53" t="s">
        <v>41</v>
      </c>
      <c r="G8" s="54" t="s">
        <v>39</v>
      </c>
      <c r="H8" s="46"/>
    </row>
    <row r="9" spans="1:8" ht="22.5" customHeight="1" x14ac:dyDescent="0.2">
      <c r="A9" s="46"/>
      <c r="B9" s="51" t="s">
        <v>23</v>
      </c>
      <c r="C9" s="52">
        <v>10</v>
      </c>
      <c r="D9" s="53">
        <v>120</v>
      </c>
      <c r="E9" s="53" t="s">
        <v>61</v>
      </c>
      <c r="F9" s="53" t="s">
        <v>42</v>
      </c>
      <c r="G9" s="54" t="s">
        <v>53</v>
      </c>
      <c r="H9" s="46"/>
    </row>
    <row r="10" spans="1:8" ht="22.5" customHeight="1" x14ac:dyDescent="0.2">
      <c r="A10" s="46"/>
      <c r="B10" s="51" t="s">
        <v>24</v>
      </c>
      <c r="C10" s="52">
        <v>14</v>
      </c>
      <c r="D10" s="53">
        <v>115</v>
      </c>
      <c r="E10" s="53" t="s">
        <v>60</v>
      </c>
      <c r="F10" s="53" t="s">
        <v>43</v>
      </c>
      <c r="G10" s="54" t="s">
        <v>54</v>
      </c>
      <c r="H10" s="46"/>
    </row>
    <row r="11" spans="1:8" ht="22.5" customHeight="1" x14ac:dyDescent="0.2">
      <c r="A11" s="46"/>
      <c r="B11" s="51" t="s">
        <v>25</v>
      </c>
      <c r="C11" s="52">
        <v>18</v>
      </c>
      <c r="D11" s="53">
        <v>100</v>
      </c>
      <c r="E11" s="53" t="s">
        <v>59</v>
      </c>
      <c r="F11" s="53" t="s">
        <v>44</v>
      </c>
      <c r="G11" s="54" t="s">
        <v>55</v>
      </c>
      <c r="H11" s="46"/>
    </row>
    <row r="12" spans="1:8" ht="22.5" customHeight="1" x14ac:dyDescent="0.2">
      <c r="A12" s="46"/>
      <c r="B12" s="51" t="s">
        <v>26</v>
      </c>
      <c r="C12" s="52">
        <v>25</v>
      </c>
      <c r="D12" s="53">
        <v>100</v>
      </c>
      <c r="E12" s="53" t="s">
        <v>35</v>
      </c>
      <c r="F12" s="53" t="s">
        <v>45</v>
      </c>
      <c r="G12" s="54" t="s">
        <v>56</v>
      </c>
      <c r="H12" s="46"/>
    </row>
    <row r="13" spans="1:8" ht="22.5" customHeight="1" x14ac:dyDescent="0.2">
      <c r="A13" s="46"/>
      <c r="B13" s="51" t="s">
        <v>27</v>
      </c>
      <c r="C13" s="52">
        <v>40</v>
      </c>
      <c r="D13" s="53">
        <v>75</v>
      </c>
      <c r="E13" s="53" t="s">
        <v>36</v>
      </c>
      <c r="F13" s="53" t="s">
        <v>46</v>
      </c>
      <c r="G13" s="54" t="s">
        <v>57</v>
      </c>
      <c r="H13" s="46"/>
    </row>
    <row r="14" spans="1:8" ht="22.5" customHeight="1" thickBot="1" x14ac:dyDescent="0.25">
      <c r="A14" s="46"/>
      <c r="B14" s="55" t="s">
        <v>28</v>
      </c>
      <c r="C14" s="56">
        <v>50</v>
      </c>
      <c r="D14" s="57">
        <v>70</v>
      </c>
      <c r="E14" s="57" t="s">
        <v>37</v>
      </c>
      <c r="F14" s="57" t="s">
        <v>47</v>
      </c>
      <c r="G14" s="58" t="s">
        <v>58</v>
      </c>
      <c r="H14" s="46"/>
    </row>
    <row r="15" spans="1:8" x14ac:dyDescent="0.2">
      <c r="A15" s="46"/>
      <c r="B15" s="46"/>
      <c r="C15" s="46"/>
      <c r="D15" s="46"/>
      <c r="E15" s="46"/>
      <c r="F15" s="46"/>
      <c r="G15" s="46"/>
      <c r="H15" s="46"/>
    </row>
    <row r="16" spans="1:8" x14ac:dyDescent="0.2">
      <c r="A16" s="46"/>
      <c r="B16" s="46"/>
      <c r="C16" s="46"/>
      <c r="D16" s="46"/>
      <c r="E16" s="46"/>
      <c r="F16" s="46"/>
      <c r="G16" s="46"/>
      <c r="H16" s="46"/>
    </row>
  </sheetData>
  <sheetProtection password="8DD1" sheet="1"/>
  <phoneticPr fontId="0" type="noConversion"/>
  <pageMargins left="0.78740157480314965" right="0.78740157480314965" top="0.39370078740157483" bottom="0.74803149606299213" header="0.39370078740157483" footer="0.31496062992125984"/>
  <pageSetup paperSize="9" orientation="landscape" horizontalDpi="1200" verticalDpi="1200" r:id="rId1"/>
  <headerFooter>
    <oddFooter>&amp;C&amp;8Richard Pearson   &amp;D   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"/>
  <sheetViews>
    <sheetView windowProtection="1" showGridLines="0" showRowColHeaders="0" zoomScaleNormal="100" workbookViewId="0">
      <selection activeCell="F5" sqref="F5"/>
    </sheetView>
  </sheetViews>
  <sheetFormatPr defaultRowHeight="17.25" x14ac:dyDescent="0.2"/>
  <cols>
    <col min="1" max="1" width="4.66796875" customWidth="1"/>
    <col min="2" max="2" width="14.2109375" customWidth="1"/>
    <col min="3" max="3" width="10.78515625" customWidth="1"/>
    <col min="4" max="4" width="12.65234375" customWidth="1"/>
    <col min="5" max="5" width="14.83203125" customWidth="1"/>
    <col min="6" max="7" width="14.7265625" customWidth="1"/>
  </cols>
  <sheetData>
    <row r="1" spans="1:7" ht="9.9499999999999993" customHeight="1" thickBot="1" x14ac:dyDescent="0.25"/>
    <row r="2" spans="1:7" ht="20.100000000000001" customHeight="1" thickBot="1" x14ac:dyDescent="0.25">
      <c r="B2" s="270" t="s">
        <v>14</v>
      </c>
      <c r="C2" s="286">
        <v>33</v>
      </c>
    </row>
    <row r="3" spans="1:7" ht="50.1" customHeight="1" thickBot="1" x14ac:dyDescent="0.25">
      <c r="A3" s="46"/>
      <c r="B3" s="46"/>
      <c r="C3" s="285" t="s">
        <v>152</v>
      </c>
      <c r="D3" s="285"/>
      <c r="E3" s="46"/>
      <c r="F3" s="46"/>
      <c r="G3" s="46"/>
    </row>
    <row r="4" spans="1:7" ht="20.100000000000001" customHeight="1" thickBot="1" x14ac:dyDescent="0.25">
      <c r="A4" s="46"/>
      <c r="B4" s="270" t="s">
        <v>18</v>
      </c>
      <c r="C4" s="269" t="s">
        <v>107</v>
      </c>
      <c r="D4" s="263" t="s">
        <v>108</v>
      </c>
      <c r="E4" s="263" t="s">
        <v>108</v>
      </c>
      <c r="F4" s="263" t="s">
        <v>109</v>
      </c>
      <c r="G4" s="264" t="s">
        <v>110</v>
      </c>
    </row>
    <row r="5" spans="1:7" ht="20.100000000000001" customHeight="1" x14ac:dyDescent="0.2">
      <c r="A5" s="46"/>
      <c r="B5" s="287" t="s">
        <v>111</v>
      </c>
      <c r="C5" s="290">
        <f>$C$2</f>
        <v>33</v>
      </c>
      <c r="D5" s="271">
        <v>50</v>
      </c>
      <c r="E5" s="265">
        <f>D5/1000*C5</f>
        <v>1.6500000000000001</v>
      </c>
      <c r="F5" s="266">
        <v>10</v>
      </c>
      <c r="G5" s="267">
        <f>F5/E5*0.2</f>
        <v>1.2121212121212122</v>
      </c>
    </row>
    <row r="6" spans="1:7" ht="17.100000000000001" customHeight="1" x14ac:dyDescent="0.2">
      <c r="A6" s="46"/>
      <c r="B6" s="288" t="s">
        <v>146</v>
      </c>
      <c r="C6" s="291">
        <f>$C$2</f>
        <v>33</v>
      </c>
      <c r="D6" s="272">
        <v>75</v>
      </c>
      <c r="E6" s="260">
        <f>D6/1000*C6</f>
        <v>2.4750000000000001</v>
      </c>
      <c r="F6" s="261">
        <v>10</v>
      </c>
      <c r="G6" s="268">
        <f>F6/E6*0.2</f>
        <v>0.80808080808080818</v>
      </c>
    </row>
    <row r="7" spans="1:7" ht="17.100000000000001" customHeight="1" thickBot="1" x14ac:dyDescent="0.25">
      <c r="A7" s="46"/>
      <c r="B7" s="289" t="s">
        <v>147</v>
      </c>
      <c r="C7" s="292">
        <f>$C$2</f>
        <v>33</v>
      </c>
      <c r="D7" s="273">
        <v>100</v>
      </c>
      <c r="E7" s="80">
        <f>D7/1000*C7</f>
        <v>3.3000000000000003</v>
      </c>
      <c r="F7" s="82">
        <v>10</v>
      </c>
      <c r="G7" s="81">
        <f>F7/E7*0.2</f>
        <v>0.60606060606060608</v>
      </c>
    </row>
    <row r="8" spans="1:7" ht="20.100000000000001" customHeight="1" x14ac:dyDescent="0.2">
      <c r="A8" s="46"/>
      <c r="B8" s="46"/>
      <c r="C8" s="46"/>
      <c r="D8" s="46" t="s">
        <v>112</v>
      </c>
      <c r="E8" s="46"/>
      <c r="F8" s="46"/>
      <c r="G8" s="46"/>
    </row>
    <row r="9" spans="1:7" ht="50.1" customHeight="1" thickBot="1" x14ac:dyDescent="0.25">
      <c r="A9" s="46"/>
      <c r="B9" s="46"/>
      <c r="C9" s="285" t="s">
        <v>151</v>
      </c>
      <c r="D9" s="285"/>
      <c r="E9" s="46"/>
      <c r="F9" s="46"/>
      <c r="G9" s="46"/>
    </row>
    <row r="10" spans="1:7" ht="20.100000000000001" customHeight="1" thickBot="1" x14ac:dyDescent="0.25">
      <c r="A10" s="46"/>
      <c r="B10" s="270" t="s">
        <v>18</v>
      </c>
      <c r="C10" s="269" t="s">
        <v>107</v>
      </c>
      <c r="D10" s="263" t="s">
        <v>108</v>
      </c>
      <c r="E10" s="263" t="s">
        <v>108</v>
      </c>
      <c r="F10" s="263" t="s">
        <v>109</v>
      </c>
      <c r="G10" s="264" t="s">
        <v>149</v>
      </c>
    </row>
    <row r="11" spans="1:7" ht="20.100000000000001" customHeight="1" thickBot="1" x14ac:dyDescent="0.25">
      <c r="A11" s="46"/>
      <c r="B11" s="274" t="s">
        <v>148</v>
      </c>
      <c r="C11" s="293">
        <f>$C$2</f>
        <v>33</v>
      </c>
      <c r="D11" s="275">
        <v>1.5</v>
      </c>
      <c r="E11" s="295">
        <f>D11*C11</f>
        <v>49.5</v>
      </c>
      <c r="F11" s="296" t="s">
        <v>150</v>
      </c>
      <c r="G11" s="294">
        <f>2*E11/100</f>
        <v>0.99</v>
      </c>
    </row>
    <row r="12" spans="1:7" ht="20.100000000000001" customHeight="1" x14ac:dyDescent="0.2">
      <c r="A12" s="46"/>
      <c r="B12" s="276"/>
      <c r="C12" s="297"/>
      <c r="D12" s="277"/>
      <c r="E12" s="298"/>
      <c r="F12" s="299"/>
      <c r="G12" s="278"/>
    </row>
    <row r="13" spans="1:7" ht="50.1" customHeight="1" thickBot="1" x14ac:dyDescent="0.25">
      <c r="C13" s="285" t="s">
        <v>113</v>
      </c>
      <c r="D13" s="285"/>
      <c r="E13" s="46"/>
      <c r="F13" s="46"/>
      <c r="G13" s="46"/>
    </row>
    <row r="14" spans="1:7" ht="20.100000000000001" customHeight="1" thickBot="1" x14ac:dyDescent="0.25">
      <c r="B14" s="270" t="s">
        <v>18</v>
      </c>
      <c r="C14" s="262" t="s">
        <v>107</v>
      </c>
      <c r="D14" s="263" t="s">
        <v>108</v>
      </c>
      <c r="E14" s="263" t="s">
        <v>108</v>
      </c>
      <c r="F14" s="279">
        <v>0.01</v>
      </c>
      <c r="G14" s="280">
        <v>0.1</v>
      </c>
    </row>
    <row r="15" spans="1:7" ht="20.100000000000001" customHeight="1" thickBot="1" x14ac:dyDescent="0.25">
      <c r="B15" s="270" t="s">
        <v>148</v>
      </c>
      <c r="C15" s="293">
        <f>$C$2</f>
        <v>33</v>
      </c>
      <c r="D15" s="281">
        <v>1</v>
      </c>
      <c r="E15" s="282">
        <f>D15*C15</f>
        <v>33</v>
      </c>
      <c r="F15" s="283">
        <f>$E$15/10</f>
        <v>3.3</v>
      </c>
      <c r="G15" s="284">
        <f>$E$15/100</f>
        <v>0.33</v>
      </c>
    </row>
  </sheetData>
  <sheetProtection algorithmName="SHA-512" hashValue="seiBZuCeRkURR7/J4hi7FtGl3RMu2ExKWnbCuWnM1vxGimHDZXOETm0/1lzwY8jzJby63mH7ui0IYvlAXGcFrw==" saltValue="IOzsako/S+LyengKU5CZy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"/>
  <sheetViews>
    <sheetView windowProtection="1" showGridLines="0" showRowColHeaders="0" zoomScaleNormal="100" workbookViewId="0">
      <selection activeCell="G3" sqref="G3"/>
    </sheetView>
  </sheetViews>
  <sheetFormatPr defaultColWidth="8.91796875" defaultRowHeight="22.5" x14ac:dyDescent="0.2"/>
  <cols>
    <col min="1" max="1" width="2.80078125" style="5" customWidth="1"/>
    <col min="2" max="2" width="18.25390625" style="5" customWidth="1"/>
    <col min="3" max="3" width="10.78515625" style="5" customWidth="1"/>
    <col min="4" max="4" width="14.2109375" style="5" customWidth="1"/>
    <col min="5" max="9" width="10.78515625" style="5" customWidth="1"/>
    <col min="10" max="16384" width="8.91796875" style="5"/>
  </cols>
  <sheetData>
    <row r="1" spans="1:9" ht="9.9499999999999993" customHeight="1" x14ac:dyDescent="0.2"/>
    <row r="2" spans="1:9" ht="48" customHeight="1" thickBot="1" x14ac:dyDescent="0.25">
      <c r="A2" s="6"/>
      <c r="B2" s="6"/>
      <c r="C2" s="181" t="s">
        <v>87</v>
      </c>
      <c r="D2" s="6"/>
      <c r="E2" s="6"/>
      <c r="F2" s="6"/>
      <c r="G2" s="6"/>
      <c r="H2" s="6"/>
      <c r="I2" s="6"/>
    </row>
    <row r="3" spans="1:9" ht="27" customHeight="1" thickBot="1" x14ac:dyDescent="0.25">
      <c r="A3" s="6"/>
      <c r="B3" s="6"/>
      <c r="C3" s="9"/>
      <c r="D3" s="8"/>
      <c r="E3" s="8"/>
      <c r="F3" s="8"/>
      <c r="G3" s="205">
        <v>12</v>
      </c>
      <c r="H3" s="6"/>
      <c r="I3" s="6"/>
    </row>
    <row r="4" spans="1:9" ht="27" customHeight="1" thickBot="1" x14ac:dyDescent="0.25">
      <c r="A4" s="6"/>
      <c r="B4" s="6"/>
      <c r="C4" s="202" t="s">
        <v>86</v>
      </c>
      <c r="D4" s="203" t="s">
        <v>85</v>
      </c>
      <c r="E4" s="202" t="s">
        <v>85</v>
      </c>
      <c r="F4" s="202" t="s">
        <v>85</v>
      </c>
      <c r="G4" s="204" t="s">
        <v>13</v>
      </c>
      <c r="H4" s="204" t="s">
        <v>13</v>
      </c>
      <c r="I4" s="204" t="s">
        <v>88</v>
      </c>
    </row>
    <row r="5" spans="1:9" ht="27" customHeight="1" x14ac:dyDescent="0.2">
      <c r="A5" s="6"/>
      <c r="B5" s="182" t="s">
        <v>84</v>
      </c>
      <c r="C5" s="183">
        <v>0.01</v>
      </c>
      <c r="D5" s="184">
        <v>3</v>
      </c>
      <c r="E5" s="185">
        <f>$G$3*D5/C5/1000</f>
        <v>3.6</v>
      </c>
      <c r="F5" s="186">
        <f>E5*$C5*1000</f>
        <v>36.000000000000007</v>
      </c>
      <c r="G5" s="243">
        <v>3.5</v>
      </c>
      <c r="H5" s="186">
        <f>G5*$C5*1000</f>
        <v>35</v>
      </c>
      <c r="I5" s="187">
        <f>G5/E5</f>
        <v>0.97222222222222221</v>
      </c>
    </row>
    <row r="6" spans="1:9" ht="27" customHeight="1" x14ac:dyDescent="0.2">
      <c r="A6" s="7"/>
      <c r="B6" s="188" t="s">
        <v>139</v>
      </c>
      <c r="C6" s="189">
        <v>5.0000000000000001E-3</v>
      </c>
      <c r="D6" s="190">
        <v>2</v>
      </c>
      <c r="E6" s="191">
        <f>$G$3*D6/C6/1000</f>
        <v>4.8</v>
      </c>
      <c r="F6" s="192">
        <f>E6*$C6*1000</f>
        <v>24</v>
      </c>
      <c r="G6" s="244">
        <v>0</v>
      </c>
      <c r="H6" s="192">
        <f>G6*$C6*1000</f>
        <v>0</v>
      </c>
      <c r="I6" s="193">
        <f>G6/E6</f>
        <v>0</v>
      </c>
    </row>
    <row r="7" spans="1:9" ht="27" customHeight="1" x14ac:dyDescent="0.2">
      <c r="A7" s="7"/>
      <c r="B7" s="188" t="s">
        <v>139</v>
      </c>
      <c r="C7" s="189">
        <v>2.5000000000000001E-3</v>
      </c>
      <c r="D7" s="190">
        <v>2</v>
      </c>
      <c r="E7" s="191">
        <f>$G$3*D7/C7/1000</f>
        <v>9.6</v>
      </c>
      <c r="F7" s="192">
        <f>E7*$C7*1000</f>
        <v>24</v>
      </c>
      <c r="G7" s="244">
        <v>0</v>
      </c>
      <c r="H7" s="192">
        <f>G7*$C7*1000</f>
        <v>0</v>
      </c>
      <c r="I7" s="193">
        <f>G7/E7</f>
        <v>0</v>
      </c>
    </row>
    <row r="8" spans="1:9" ht="27" customHeight="1" x14ac:dyDescent="0.2">
      <c r="A8" s="7"/>
      <c r="B8" s="188" t="s">
        <v>140</v>
      </c>
      <c r="C8" s="189">
        <v>2.5000000000000001E-3</v>
      </c>
      <c r="D8" s="190">
        <v>2</v>
      </c>
      <c r="E8" s="191">
        <f>$G$3*D8/C8/1000</f>
        <v>9.6</v>
      </c>
      <c r="F8" s="192">
        <f>E8*$C8*1000</f>
        <v>24</v>
      </c>
      <c r="G8" s="244">
        <v>0</v>
      </c>
      <c r="H8" s="192">
        <f>G8*$C8*1000</f>
        <v>0</v>
      </c>
      <c r="I8" s="193">
        <f>G8/E8</f>
        <v>0</v>
      </c>
    </row>
    <row r="9" spans="1:9" ht="23.25" thickBot="1" x14ac:dyDescent="0.25">
      <c r="A9" s="6"/>
      <c r="B9" s="194" t="s">
        <v>141</v>
      </c>
      <c r="C9" s="195">
        <v>0.01</v>
      </c>
      <c r="D9" s="196">
        <v>6</v>
      </c>
      <c r="E9" s="197">
        <f>$G$3*D9/C9/1000</f>
        <v>7.2</v>
      </c>
      <c r="F9" s="198">
        <f>E9*$C9*1000</f>
        <v>72.000000000000014</v>
      </c>
      <c r="G9" s="245">
        <v>0</v>
      </c>
      <c r="H9" s="198">
        <f>G9*$C9*1000</f>
        <v>0</v>
      </c>
      <c r="I9" s="199">
        <f>G9/E9</f>
        <v>0</v>
      </c>
    </row>
    <row r="10" spans="1:9" ht="23.25" thickBot="1" x14ac:dyDescent="0.25">
      <c r="B10" s="200"/>
      <c r="C10" s="200"/>
      <c r="D10" s="200"/>
      <c r="E10" s="200"/>
      <c r="F10" s="200"/>
      <c r="G10" s="200"/>
      <c r="H10" s="200"/>
      <c r="I10" s="201">
        <f>SUM(I5:I9)</f>
        <v>0.97222222222222221</v>
      </c>
    </row>
  </sheetData>
  <sheetProtection algorithmName="SHA-512" hashValue="bFqL1iaWNgIrPfGGWZp7Y1ogKgBXUG+Avpee03jcL78B6a19oFey7VBgD5i3q3HATY4X8ISBgKN7nKa0pzTblw==" saltValue="iDZHx29Pas2aq0/xWYl1Xw==" spinCount="100000" sheet="1" objects="1" scenarios="1" selectLockedCells="1"/>
  <phoneticPr fontId="0" type="noConversion"/>
  <printOptions horizontalCentered="1"/>
  <pageMargins left="0.15748031496062992" right="0.15748031496062992" top="0.55118110236220474" bottom="0.78740157480314965" header="0.51181102362204722" footer="0.51181102362204722"/>
  <pageSetup orientation="landscape" horizontalDpi="300" verticalDpi="300" r:id="rId1"/>
  <headerFooter alignWithMargins="0">
    <oddFooter>&amp;C&amp;9Richard Pearson   &amp;D   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3"/>
  <sheetViews>
    <sheetView windowProtection="1" showGridLines="0" zoomScaleNormal="100" workbookViewId="0">
      <selection activeCell="C3" sqref="C3"/>
    </sheetView>
  </sheetViews>
  <sheetFormatPr defaultColWidth="8.91796875" defaultRowHeight="22.5" x14ac:dyDescent="0.2"/>
  <cols>
    <col min="1" max="1" width="4.35546875" style="5" customWidth="1"/>
    <col min="2" max="2" width="13.0703125" style="5" customWidth="1"/>
    <col min="3" max="3" width="19.39453125" style="5" customWidth="1"/>
    <col min="4" max="4" width="26.140625" style="5" customWidth="1"/>
    <col min="5" max="5" width="23.1328125" style="5" customWidth="1"/>
    <col min="6" max="7" width="10.4765625" style="5" customWidth="1"/>
    <col min="8" max="16384" width="8.91796875" style="5"/>
  </cols>
  <sheetData>
    <row r="1" spans="1:8" ht="9.9499999999999993" customHeight="1" x14ac:dyDescent="0.2">
      <c r="A1" s="6"/>
      <c r="B1" s="6"/>
      <c r="C1" s="6"/>
      <c r="D1" s="332"/>
      <c r="E1" s="332"/>
      <c r="F1" s="6"/>
      <c r="G1" s="6"/>
      <c r="H1" s="6"/>
    </row>
    <row r="2" spans="1:8" ht="42" customHeight="1" thickBot="1" x14ac:dyDescent="0.25">
      <c r="A2" s="6"/>
      <c r="B2" s="181" t="s">
        <v>15</v>
      </c>
      <c r="C2" s="6"/>
      <c r="D2" s="332"/>
      <c r="E2" s="332"/>
      <c r="F2" s="6"/>
      <c r="G2" s="6"/>
      <c r="H2" s="6"/>
    </row>
    <row r="3" spans="1:8" ht="22.15" customHeight="1" x14ac:dyDescent="0.2">
      <c r="A3" s="6"/>
      <c r="B3" s="335" t="s">
        <v>14</v>
      </c>
      <c r="C3" s="343">
        <v>70</v>
      </c>
      <c r="D3" s="337"/>
      <c r="E3" s="206"/>
      <c r="F3" s="6"/>
      <c r="G3" s="6"/>
      <c r="H3" s="6"/>
    </row>
    <row r="4" spans="1:8" ht="22.15" customHeight="1" x14ac:dyDescent="0.2">
      <c r="A4" s="6"/>
      <c r="B4" s="333" t="s">
        <v>86</v>
      </c>
      <c r="C4" s="344">
        <v>0.01</v>
      </c>
      <c r="D4" s="338"/>
      <c r="E4" s="206"/>
      <c r="F4" s="6"/>
      <c r="G4" s="6"/>
      <c r="H4" s="6"/>
    </row>
    <row r="5" spans="1:8" ht="22.15" customHeight="1" x14ac:dyDescent="0.2">
      <c r="A5" s="7"/>
      <c r="B5" s="333" t="s">
        <v>13</v>
      </c>
      <c r="C5" s="345">
        <v>5</v>
      </c>
      <c r="D5" s="339">
        <v>50</v>
      </c>
      <c r="E5" s="334"/>
      <c r="F5" s="6"/>
      <c r="G5" s="6"/>
      <c r="H5" s="6"/>
    </row>
    <row r="6" spans="1:8" ht="22.15" customHeight="1" x14ac:dyDescent="0.2">
      <c r="A6" s="7"/>
      <c r="B6" s="333" t="s">
        <v>12</v>
      </c>
      <c r="C6" s="346">
        <f>C5*$C$3/1000</f>
        <v>0.35</v>
      </c>
      <c r="D6" s="340">
        <f>D5*$C$3/1000</f>
        <v>3.5</v>
      </c>
      <c r="E6" s="330"/>
      <c r="F6" s="6"/>
      <c r="G6" s="6"/>
      <c r="H6" s="6"/>
    </row>
    <row r="7" spans="1:8" ht="22.15" customHeight="1" x14ac:dyDescent="0.2">
      <c r="A7" s="7"/>
      <c r="B7" s="333" t="s">
        <v>164</v>
      </c>
      <c r="C7" s="347">
        <f>C6*60</f>
        <v>21</v>
      </c>
      <c r="D7" s="341">
        <f>D6*60</f>
        <v>210</v>
      </c>
      <c r="E7" s="330"/>
      <c r="F7" s="6"/>
      <c r="G7" s="6"/>
      <c r="H7" s="6"/>
    </row>
    <row r="8" spans="1:8" ht="22.15" customHeight="1" thickBot="1" x14ac:dyDescent="0.25">
      <c r="A8" s="7"/>
      <c r="B8" s="336" t="s">
        <v>164</v>
      </c>
      <c r="C8" s="348">
        <f>C7/$C$4/1000</f>
        <v>2.1</v>
      </c>
      <c r="D8" s="342">
        <f>D7/$C$4/1000</f>
        <v>21</v>
      </c>
      <c r="E8" s="331"/>
      <c r="F8" s="6"/>
      <c r="G8" s="6"/>
      <c r="H8" s="6"/>
    </row>
    <row r="9" spans="1:8" ht="20.100000000000001" customHeight="1" thickBot="1" x14ac:dyDescent="0.25">
      <c r="A9" s="6"/>
      <c r="B9" s="6"/>
      <c r="C9" s="6"/>
      <c r="D9" s="6"/>
      <c r="E9" s="6"/>
      <c r="F9" s="6"/>
      <c r="G9" s="6"/>
      <c r="H9" s="6"/>
    </row>
    <row r="10" spans="1:8" ht="20.100000000000001" customHeight="1" thickBot="1" x14ac:dyDescent="0.25">
      <c r="B10" s="42" t="s">
        <v>18</v>
      </c>
      <c r="C10" s="162" t="s">
        <v>129</v>
      </c>
      <c r="D10" s="163" t="s">
        <v>130</v>
      </c>
      <c r="E10" s="163" t="s">
        <v>131</v>
      </c>
    </row>
    <row r="11" spans="1:8" ht="20.100000000000001" customHeight="1" x14ac:dyDescent="0.2">
      <c r="B11" s="165">
        <v>1</v>
      </c>
      <c r="C11" s="164">
        <f>($B11+4)*2</f>
        <v>10</v>
      </c>
      <c r="D11" s="136">
        <f>($B11*2)+8</f>
        <v>10</v>
      </c>
      <c r="E11" s="149">
        <f>($B11*3)+7</f>
        <v>10</v>
      </c>
    </row>
    <row r="12" spans="1:8" ht="20.100000000000001" customHeight="1" x14ac:dyDescent="0.2">
      <c r="B12" s="166">
        <v>2</v>
      </c>
      <c r="C12" s="152">
        <f t="shared" ref="C12:C22" si="0">($B12+4)*2</f>
        <v>12</v>
      </c>
      <c r="D12" s="131">
        <f t="shared" ref="D12:D22" si="1">($B12*2)+8</f>
        <v>12</v>
      </c>
      <c r="E12" s="150">
        <f t="shared" ref="E12:E22" si="2">($B12*3)+7</f>
        <v>13</v>
      </c>
    </row>
    <row r="13" spans="1:8" ht="20.100000000000001" customHeight="1" x14ac:dyDescent="0.2">
      <c r="B13" s="166">
        <v>3</v>
      </c>
      <c r="C13" s="152">
        <f t="shared" si="0"/>
        <v>14</v>
      </c>
      <c r="D13" s="131">
        <f t="shared" si="1"/>
        <v>14</v>
      </c>
      <c r="E13" s="150">
        <f t="shared" si="2"/>
        <v>16</v>
      </c>
    </row>
    <row r="14" spans="1:8" ht="20.100000000000001" customHeight="1" x14ac:dyDescent="0.2">
      <c r="B14" s="166">
        <v>4</v>
      </c>
      <c r="C14" s="152">
        <f t="shared" si="0"/>
        <v>16</v>
      </c>
      <c r="D14" s="131">
        <f t="shared" si="1"/>
        <v>16</v>
      </c>
      <c r="E14" s="150">
        <f t="shared" si="2"/>
        <v>19</v>
      </c>
    </row>
    <row r="15" spans="1:8" ht="20.100000000000001" customHeight="1" thickBot="1" x14ac:dyDescent="0.25">
      <c r="B15" s="167">
        <v>5</v>
      </c>
      <c r="C15" s="153">
        <f t="shared" si="0"/>
        <v>18</v>
      </c>
      <c r="D15" s="143">
        <f t="shared" si="1"/>
        <v>18</v>
      </c>
      <c r="E15" s="151">
        <f t="shared" si="2"/>
        <v>22</v>
      </c>
    </row>
    <row r="16" spans="1:8" ht="20.100000000000001" customHeight="1" x14ac:dyDescent="0.2">
      <c r="B16" s="168">
        <v>6</v>
      </c>
      <c r="C16" s="154">
        <f t="shared" si="0"/>
        <v>20</v>
      </c>
      <c r="D16" s="155">
        <f t="shared" si="1"/>
        <v>20</v>
      </c>
      <c r="E16" s="156">
        <f t="shared" si="2"/>
        <v>25</v>
      </c>
    </row>
    <row r="17" spans="2:5" ht="20.100000000000001" customHeight="1" x14ac:dyDescent="0.2">
      <c r="B17" s="166">
        <v>7</v>
      </c>
      <c r="C17" s="152">
        <f t="shared" si="0"/>
        <v>22</v>
      </c>
      <c r="D17" s="131">
        <f t="shared" si="1"/>
        <v>22</v>
      </c>
      <c r="E17" s="150">
        <f t="shared" si="2"/>
        <v>28</v>
      </c>
    </row>
    <row r="18" spans="2:5" ht="20.100000000000001" customHeight="1" x14ac:dyDescent="0.2">
      <c r="B18" s="166">
        <v>8</v>
      </c>
      <c r="C18" s="152">
        <f t="shared" si="0"/>
        <v>24</v>
      </c>
      <c r="D18" s="131">
        <f t="shared" si="1"/>
        <v>24</v>
      </c>
      <c r="E18" s="150">
        <f t="shared" si="2"/>
        <v>31</v>
      </c>
    </row>
    <row r="19" spans="2:5" ht="20.100000000000001" customHeight="1" x14ac:dyDescent="0.2">
      <c r="B19" s="166">
        <v>9</v>
      </c>
      <c r="C19" s="152">
        <f t="shared" si="0"/>
        <v>26</v>
      </c>
      <c r="D19" s="131">
        <f t="shared" si="1"/>
        <v>26</v>
      </c>
      <c r="E19" s="150">
        <f t="shared" si="2"/>
        <v>34</v>
      </c>
    </row>
    <row r="20" spans="2:5" ht="20.100000000000001" customHeight="1" x14ac:dyDescent="0.2">
      <c r="B20" s="166">
        <v>10</v>
      </c>
      <c r="C20" s="152">
        <f t="shared" si="0"/>
        <v>28</v>
      </c>
      <c r="D20" s="131">
        <f t="shared" si="1"/>
        <v>28</v>
      </c>
      <c r="E20" s="150">
        <f t="shared" si="2"/>
        <v>37</v>
      </c>
    </row>
    <row r="21" spans="2:5" ht="20.100000000000001" customHeight="1" x14ac:dyDescent="0.2">
      <c r="B21" s="166">
        <v>11</v>
      </c>
      <c r="C21" s="152">
        <f t="shared" si="0"/>
        <v>30</v>
      </c>
      <c r="D21" s="131">
        <f t="shared" si="1"/>
        <v>30</v>
      </c>
      <c r="E21" s="150">
        <f t="shared" si="2"/>
        <v>40</v>
      </c>
    </row>
    <row r="22" spans="2:5" ht="20.100000000000001" customHeight="1" thickBot="1" x14ac:dyDescent="0.25">
      <c r="B22" s="167">
        <v>12</v>
      </c>
      <c r="C22" s="153">
        <f t="shared" si="0"/>
        <v>32</v>
      </c>
      <c r="D22" s="143">
        <f t="shared" si="1"/>
        <v>32</v>
      </c>
      <c r="E22" s="151">
        <f t="shared" si="2"/>
        <v>43</v>
      </c>
    </row>
    <row r="23" spans="2:5" ht="22.15" customHeight="1" x14ac:dyDescent="0.2"/>
  </sheetData>
  <sheetProtection algorithmName="SHA-512" hashValue="Hu0KM9RXYh+6fhZLU7pwDBIOx2Cb8H3rB2iqVNaA8mkyR3prgd/xnGkWWTjZTIEMAT4ikpdeud8smUngkZT5yA==" saltValue="YErW7snsNt5nQiVIwqKqJg==" spinCount="100000" sheet="1" selectLockedCells="1"/>
  <phoneticPr fontId="0" type="noConversion"/>
  <printOptions horizontalCentered="1"/>
  <pageMargins left="0.23622047244094491" right="0.23622047244094491" top="0.55118110236220474" bottom="0.78740157480314965" header="0.51181102362204722" footer="0.51181102362204722"/>
  <pageSetup orientation="landscape" horizontalDpi="300" verticalDpi="300" r:id="rId1"/>
  <headerFooter alignWithMargins="0">
    <oddFooter>&amp;C&amp;9Richard Pearson   &amp;D   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windowProtection="1" showGridLines="0" showRowColHeaders="0" workbookViewId="0">
      <selection activeCell="A2" sqref="A2"/>
    </sheetView>
  </sheetViews>
  <sheetFormatPr defaultColWidth="8.91796875" defaultRowHeight="15" x14ac:dyDescent="0.2"/>
  <cols>
    <col min="1" max="2" width="14.7265625" style="237" customWidth="1"/>
    <col min="3" max="4" width="10.78515625" style="237" customWidth="1"/>
    <col min="5" max="5" width="15.765625" style="237" customWidth="1"/>
    <col min="6" max="6" width="11.3046875" style="238" hidden="1" customWidth="1"/>
    <col min="7" max="16384" width="8.91796875" style="238"/>
  </cols>
  <sheetData>
    <row r="1" spans="1:6" ht="56.1" customHeight="1" thickBot="1" x14ac:dyDescent="0.25">
      <c r="A1" s="371" t="s">
        <v>143</v>
      </c>
      <c r="B1" s="372"/>
      <c r="C1" s="372"/>
      <c r="D1" s="372"/>
      <c r="E1" s="373"/>
      <c r="F1" s="240" t="s">
        <v>12</v>
      </c>
    </row>
    <row r="2" spans="1:6" ht="30" customHeight="1" x14ac:dyDescent="0.2">
      <c r="A2" s="246">
        <v>43155</v>
      </c>
      <c r="B2" s="247">
        <f>A2+C2</f>
        <v>43158</v>
      </c>
      <c r="C2" s="248">
        <v>3</v>
      </c>
      <c r="D2" s="249">
        <f>E2*5</f>
        <v>30</v>
      </c>
      <c r="E2" s="250">
        <v>6</v>
      </c>
      <c r="F2" s="241">
        <f>E2*C2</f>
        <v>18</v>
      </c>
    </row>
    <row r="3" spans="1:6" ht="30" customHeight="1" x14ac:dyDescent="0.2">
      <c r="A3" s="251">
        <f>B2+1</f>
        <v>43159</v>
      </c>
      <c r="B3" s="252">
        <f t="shared" ref="B3:B7" si="0">A3+C3</f>
        <v>43162</v>
      </c>
      <c r="C3" s="253">
        <v>3</v>
      </c>
      <c r="D3" s="254">
        <f t="shared" ref="D3:D7" si="1">E3*5</f>
        <v>25</v>
      </c>
      <c r="E3" s="255">
        <v>5</v>
      </c>
      <c r="F3" s="241">
        <f t="shared" ref="F3:F7" si="2">E3*C3</f>
        <v>15</v>
      </c>
    </row>
    <row r="4" spans="1:6" ht="30" customHeight="1" x14ac:dyDescent="0.2">
      <c r="A4" s="251">
        <f t="shared" ref="A4:A7" si="3">B3+1</f>
        <v>43163</v>
      </c>
      <c r="B4" s="252">
        <f t="shared" si="0"/>
        <v>43166</v>
      </c>
      <c r="C4" s="253">
        <v>3</v>
      </c>
      <c r="D4" s="254">
        <f t="shared" si="1"/>
        <v>20</v>
      </c>
      <c r="E4" s="255">
        <v>4</v>
      </c>
      <c r="F4" s="241">
        <f t="shared" si="2"/>
        <v>12</v>
      </c>
    </row>
    <row r="5" spans="1:6" ht="30" customHeight="1" x14ac:dyDescent="0.2">
      <c r="A5" s="251">
        <f t="shared" si="3"/>
        <v>43167</v>
      </c>
      <c r="B5" s="252">
        <f t="shared" si="0"/>
        <v>43170</v>
      </c>
      <c r="C5" s="253">
        <v>3</v>
      </c>
      <c r="D5" s="254">
        <f t="shared" si="1"/>
        <v>15</v>
      </c>
      <c r="E5" s="255">
        <v>3</v>
      </c>
      <c r="F5" s="241">
        <f t="shared" si="2"/>
        <v>9</v>
      </c>
    </row>
    <row r="6" spans="1:6" ht="30" customHeight="1" x14ac:dyDescent="0.2">
      <c r="A6" s="251">
        <f t="shared" si="3"/>
        <v>43171</v>
      </c>
      <c r="B6" s="252">
        <f t="shared" si="0"/>
        <v>43174</v>
      </c>
      <c r="C6" s="253">
        <v>3</v>
      </c>
      <c r="D6" s="254">
        <f t="shared" si="1"/>
        <v>10</v>
      </c>
      <c r="E6" s="255">
        <v>2</v>
      </c>
      <c r="F6" s="241">
        <f t="shared" si="2"/>
        <v>6</v>
      </c>
    </row>
    <row r="7" spans="1:6" ht="30" customHeight="1" thickBot="1" x14ac:dyDescent="0.25">
      <c r="A7" s="251">
        <f t="shared" si="3"/>
        <v>43175</v>
      </c>
      <c r="B7" s="252">
        <f t="shared" si="0"/>
        <v>43178</v>
      </c>
      <c r="C7" s="253">
        <v>3</v>
      </c>
      <c r="D7" s="254">
        <f t="shared" si="1"/>
        <v>5</v>
      </c>
      <c r="E7" s="255">
        <v>1</v>
      </c>
      <c r="F7" s="242">
        <f t="shared" si="2"/>
        <v>3</v>
      </c>
    </row>
    <row r="8" spans="1:6" ht="30" customHeight="1" thickBot="1" x14ac:dyDescent="0.25">
      <c r="A8" s="256" t="s">
        <v>142</v>
      </c>
      <c r="B8" s="257"/>
      <c r="C8" s="257"/>
      <c r="D8" s="258"/>
      <c r="E8" s="259">
        <f>SUM(F2:F7)</f>
        <v>63</v>
      </c>
    </row>
    <row r="9" spans="1:6" x14ac:dyDescent="0.2">
      <c r="D9" s="239"/>
    </row>
    <row r="10" spans="1:6" x14ac:dyDescent="0.2">
      <c r="D10" s="239"/>
    </row>
    <row r="11" spans="1:6" x14ac:dyDescent="0.2">
      <c r="D11" s="239"/>
    </row>
  </sheetData>
  <sheetProtection algorithmName="SHA-512" hashValue="5R09OV1OmbZA4iKf8DViY02yiQo4LXZUtHT+Lu2K2wWLwgHGbMbMRS3qbKamMlnjfOf/LASExV+vfEAxH4/44Q==" saltValue="UwM/btqcfwz7pTeWpxXNjw==" spinCount="100000" sheet="1" objects="1" scenarios="1"/>
  <mergeCells count="1">
    <mergeCell ref="A1:E1"/>
  </mergeCells>
  <pageMargins left="0.70866141732283472" right="0.70866141732283472" top="1.5354330708661419" bottom="0.74803149606299213" header="0.31496062992125984" footer="0.31496062992125984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B3060-0106-4F9B-BEC9-3B62C48E6011}">
  <dimension ref="B1:N15"/>
  <sheetViews>
    <sheetView windowProtection="1" showGridLines="0" showRowColHeaders="0" tabSelected="1" workbookViewId="0">
      <selection activeCell="E3" sqref="E3"/>
    </sheetView>
  </sheetViews>
  <sheetFormatPr defaultColWidth="8.91796875" defaultRowHeight="18" x14ac:dyDescent="0.2"/>
  <cols>
    <col min="1" max="1" width="4.1484375" style="10" customWidth="1"/>
    <col min="2" max="2" width="4.875" style="10" customWidth="1"/>
    <col min="3" max="3" width="13.37890625" style="10" customWidth="1"/>
    <col min="4" max="4" width="11.3046875" style="10" customWidth="1"/>
    <col min="5" max="5" width="12.03125" style="10" customWidth="1"/>
    <col min="6" max="6" width="10.37109375" style="10" customWidth="1"/>
    <col min="7" max="7" width="17.73828125" style="10" customWidth="1"/>
    <col min="8" max="8" width="15.765625" style="10" customWidth="1"/>
    <col min="9" max="9" width="14.00390625" style="10" customWidth="1"/>
    <col min="10" max="10" width="14.10546875" style="10" customWidth="1"/>
    <col min="11" max="11" width="16.8046875" style="10" customWidth="1"/>
    <col min="12" max="13" width="12.859375" style="10" customWidth="1"/>
    <col min="14" max="14" width="12.55078125" style="10" customWidth="1"/>
    <col min="15" max="16384" width="8.91796875" style="10"/>
  </cols>
  <sheetData>
    <row r="1" spans="2:14" ht="9.9499999999999993" customHeight="1" x14ac:dyDescent="0.2"/>
    <row r="2" spans="2:14" ht="59.25" customHeight="1" thickBot="1" x14ac:dyDescent="0.25">
      <c r="D2" s="93" t="s">
        <v>162</v>
      </c>
    </row>
    <row r="3" spans="2:14" ht="25.5" customHeight="1" thickTop="1" thickBot="1" x14ac:dyDescent="0.25">
      <c r="C3" s="105" t="s">
        <v>16</v>
      </c>
      <c r="D3" s="12"/>
      <c r="E3" s="23">
        <v>85</v>
      </c>
      <c r="F3" s="70"/>
      <c r="G3" s="12"/>
      <c r="H3" s="12"/>
      <c r="I3" s="12"/>
      <c r="J3" s="12"/>
    </row>
    <row r="4" spans="2:14" ht="24.95" customHeight="1" thickTop="1" thickBot="1" x14ac:dyDescent="0.25">
      <c r="C4" s="106" t="s">
        <v>115</v>
      </c>
      <c r="D4" s="12"/>
      <c r="E4" s="22"/>
      <c r="F4" s="22"/>
      <c r="G4" s="12"/>
      <c r="H4" s="12"/>
      <c r="I4" s="12"/>
      <c r="J4" s="12"/>
      <c r="K4" s="74"/>
      <c r="L4" s="68"/>
      <c r="M4" s="68"/>
      <c r="N4" s="68"/>
    </row>
    <row r="5" spans="2:14" s="14" customFormat="1" ht="29.25" customHeight="1" thickBot="1" x14ac:dyDescent="0.25">
      <c r="B5" s="303"/>
      <c r="C5" s="303" t="s">
        <v>13</v>
      </c>
      <c r="D5" s="349" t="s">
        <v>89</v>
      </c>
      <c r="E5" s="349"/>
      <c r="F5" s="303" t="s">
        <v>99</v>
      </c>
      <c r="G5" s="79" t="s">
        <v>100</v>
      </c>
      <c r="H5" s="79" t="s">
        <v>103</v>
      </c>
      <c r="I5" s="79" t="s">
        <v>101</v>
      </c>
      <c r="J5" s="68"/>
      <c r="N5" s="75"/>
    </row>
    <row r="6" spans="2:14" s="14" customFormat="1" ht="24.95" customHeight="1" thickBot="1" x14ac:dyDescent="0.25">
      <c r="B6" s="20">
        <v>1</v>
      </c>
      <c r="C6" s="19">
        <v>100</v>
      </c>
      <c r="D6" s="16">
        <f>C6*$E$3/1000</f>
        <v>8.5</v>
      </c>
      <c r="E6" s="15">
        <f>D6*5</f>
        <v>42.5</v>
      </c>
      <c r="F6" s="78">
        <v>2</v>
      </c>
      <c r="G6" s="76">
        <v>200</v>
      </c>
      <c r="H6" s="15">
        <f>G6+E6</f>
        <v>242.5</v>
      </c>
      <c r="I6" s="77">
        <f>(G6+E6)/F6</f>
        <v>121.25</v>
      </c>
      <c r="J6" s="69"/>
      <c r="N6" s="75"/>
    </row>
    <row r="7" spans="2:14" s="14" customFormat="1" ht="24.95" customHeight="1" thickBot="1" x14ac:dyDescent="0.25">
      <c r="B7" s="18">
        <v>2</v>
      </c>
      <c r="C7" s="17">
        <v>200</v>
      </c>
      <c r="D7" s="16">
        <f>C7*$E$3/1000</f>
        <v>17</v>
      </c>
      <c r="E7" s="15">
        <f>D7*5</f>
        <v>85</v>
      </c>
      <c r="F7" s="78">
        <v>10</v>
      </c>
      <c r="G7" s="76">
        <v>1000</v>
      </c>
      <c r="H7" s="15">
        <f>G7+E7</f>
        <v>1085</v>
      </c>
      <c r="I7" s="77">
        <f>(G7+E7)/F7</f>
        <v>108.5</v>
      </c>
      <c r="J7" s="69"/>
      <c r="N7" s="75"/>
    </row>
    <row r="8" spans="2:14" ht="24.95" customHeight="1" x14ac:dyDescent="0.2">
      <c r="D8" s="12"/>
      <c r="E8" s="12"/>
      <c r="F8" s="12"/>
      <c r="G8" s="12"/>
      <c r="H8" s="12"/>
      <c r="I8" s="12"/>
      <c r="J8" s="12"/>
      <c r="K8" s="67"/>
      <c r="L8" s="67"/>
      <c r="M8" s="67"/>
      <c r="N8" s="67"/>
    </row>
    <row r="9" spans="2:14" ht="24.95" customHeight="1" thickBot="1" x14ac:dyDescent="0.25">
      <c r="B9" s="67"/>
      <c r="F9" s="66"/>
    </row>
    <row r="10" spans="2:14" ht="24.95" customHeight="1" thickTop="1" thickBot="1" x14ac:dyDescent="0.25">
      <c r="B10" s="67"/>
      <c r="C10" s="63" t="s">
        <v>91</v>
      </c>
      <c r="D10" s="71">
        <v>0</v>
      </c>
      <c r="E10" s="66">
        <f>D10/E3</f>
        <v>0</v>
      </c>
      <c r="F10" s="303"/>
      <c r="G10" s="350" t="s">
        <v>104</v>
      </c>
      <c r="H10" s="351"/>
      <c r="I10" s="352"/>
    </row>
    <row r="11" spans="2:14" ht="24.95" customHeight="1" thickTop="1" thickBot="1" x14ac:dyDescent="0.25">
      <c r="B11" s="67"/>
      <c r="E11" s="67"/>
      <c r="F11" s="20"/>
      <c r="G11" s="303" t="s">
        <v>100</v>
      </c>
      <c r="H11" s="303" t="s">
        <v>102</v>
      </c>
      <c r="I11" s="303" t="s">
        <v>101</v>
      </c>
    </row>
    <row r="12" spans="2:14" ht="24.95" customHeight="1" thickTop="1" thickBot="1" x14ac:dyDescent="0.25">
      <c r="C12" s="63" t="s">
        <v>92</v>
      </c>
      <c r="D12" s="72">
        <v>7</v>
      </c>
      <c r="E12" s="13"/>
      <c r="F12" s="20">
        <v>1</v>
      </c>
      <c r="G12" s="76" t="str">
        <f>IF($E$3&lt;40,E6*3,"")</f>
        <v/>
      </c>
      <c r="H12" s="15" t="str">
        <f>IF($E$3&lt;40,E6+G12,"")</f>
        <v/>
      </c>
      <c r="I12" s="77" t="str">
        <f>IF($E$3&lt;40,(E6+G12)/F6,"")</f>
        <v/>
      </c>
    </row>
    <row r="13" spans="2:14" ht="24.95" customHeight="1" thickTop="1" thickBot="1" x14ac:dyDescent="0.25">
      <c r="C13" s="63" t="s">
        <v>90</v>
      </c>
      <c r="D13" s="73">
        <f>200/2^(D12/4)</f>
        <v>59.46035575013606</v>
      </c>
      <c r="E13" s="11"/>
      <c r="F13" s="18">
        <v>2</v>
      </c>
      <c r="G13" s="76" t="str">
        <f>IF($E$3&lt;40,E7*19,"")</f>
        <v/>
      </c>
      <c r="H13" s="15" t="str">
        <f>IF($E$3&lt;40,E7+G13,"")</f>
        <v/>
      </c>
      <c r="I13" s="77" t="str">
        <f>IF($E$3&lt;40,(E7+G13)/F7,"")</f>
        <v/>
      </c>
    </row>
    <row r="14" spans="2:14" ht="24.95" customHeight="1" x14ac:dyDescent="0.2">
      <c r="C14" s="62"/>
    </row>
    <row r="15" spans="2:14" x14ac:dyDescent="0.2">
      <c r="B15" s="62" t="s">
        <v>163</v>
      </c>
    </row>
  </sheetData>
  <sheetProtection algorithmName="SHA-512" hashValue="wNP8U0lU+P28Rqy93Zu7k23RTvdNgJ8NpRuW0WBgaElYTX0iOLEb6jBtw9yv56QSw8hPD3kSU9iPlS4N37qGdw==" saltValue="NxmBmaewCXhOH2y6oXYmWw==" spinCount="100000" sheet="1" objects="1" scenarios="1" selectLockedCells="1"/>
  <mergeCells count="2">
    <mergeCell ref="D5:E5"/>
    <mergeCell ref="G10:I10"/>
  </mergeCells>
  <dataValidations count="1">
    <dataValidation type="whole" allowBlank="1" showInputMessage="1" showErrorMessage="1" error="Enter Integer Max 110kg" prompt="Max 110kg" sqref="E3" xr:uid="{29E61233-B8BD-4BC0-8E37-12900A388359}">
      <formula1>1</formula1>
      <formula2>110</formula2>
    </dataValidation>
  </dataValidations>
  <printOptions horizontalCentered="1"/>
  <pageMargins left="0.31496062992125984" right="0.62992125984251968" top="0.59055118110236227" bottom="0.98425196850393704" header="0.51181102362204722" footer="0.51181102362204722"/>
  <pageSetup paperSize="9" orientation="landscape" r:id="rId1"/>
  <headerFooter alignWithMargins="0">
    <oddFooter>&amp;C&amp;8Richard Pearson   &amp;D  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1"/>
  <sheetViews>
    <sheetView windowProtection="1" showGridLines="0" showRowColHeaders="0" zoomScale="85" zoomScaleNormal="85" workbookViewId="0">
      <selection activeCell="D3" sqref="D3"/>
    </sheetView>
  </sheetViews>
  <sheetFormatPr defaultRowHeight="17.25" x14ac:dyDescent="0.2"/>
  <cols>
    <col min="1" max="1" width="2.80078125" customWidth="1"/>
    <col min="2" max="2" width="16.8046875" customWidth="1"/>
    <col min="3" max="3" width="7.2578125" customWidth="1"/>
    <col min="4" max="4" width="25.72265625" style="4" customWidth="1"/>
    <col min="6" max="6" width="13.5859375" customWidth="1"/>
  </cols>
  <sheetData>
    <row r="1" spans="2:7" ht="9.9499999999999993" customHeight="1" x14ac:dyDescent="0.2"/>
    <row r="2" spans="2:7" ht="21.95" customHeight="1" x14ac:dyDescent="0.2">
      <c r="B2" s="87" t="s">
        <v>0</v>
      </c>
      <c r="C2" s="2"/>
      <c r="D2" s="301" t="s">
        <v>10</v>
      </c>
    </row>
    <row r="3" spans="2:7" ht="21.95" customHeight="1" x14ac:dyDescent="0.2">
      <c r="B3" s="87" t="s">
        <v>3</v>
      </c>
      <c r="C3" s="2"/>
      <c r="D3" s="107">
        <v>4</v>
      </c>
    </row>
    <row r="4" spans="2:7" ht="21.95" customHeight="1" x14ac:dyDescent="0.2">
      <c r="B4" s="87" t="s">
        <v>4</v>
      </c>
      <c r="C4" s="2"/>
      <c r="D4" s="108">
        <v>50</v>
      </c>
    </row>
    <row r="5" spans="2:7" ht="21.95" customHeight="1" x14ac:dyDescent="0.2">
      <c r="B5" s="87" t="s">
        <v>5</v>
      </c>
      <c r="C5" s="2"/>
      <c r="D5" s="109">
        <v>70</v>
      </c>
    </row>
    <row r="6" spans="2:7" ht="21.95" customHeight="1" x14ac:dyDescent="0.2">
      <c r="B6" s="87" t="s">
        <v>6</v>
      </c>
      <c r="C6" s="2"/>
      <c r="D6" s="300">
        <v>1</v>
      </c>
    </row>
    <row r="7" spans="2:7" ht="20.100000000000001" customHeight="1" x14ac:dyDescent="0.2">
      <c r="B7" s="2"/>
      <c r="C7" s="2"/>
      <c r="D7" s="3"/>
    </row>
    <row r="8" spans="2:7" ht="24.95" customHeight="1" x14ac:dyDescent="0.2">
      <c r="B8" s="89" t="s">
        <v>1</v>
      </c>
      <c r="C8" s="89"/>
      <c r="D8" s="115" t="s">
        <v>8</v>
      </c>
      <c r="G8" s="85"/>
    </row>
    <row r="9" spans="2:7" ht="24.95" customHeight="1" x14ac:dyDescent="0.2">
      <c r="B9" s="89" t="s">
        <v>7</v>
      </c>
      <c r="C9" s="89" t="s">
        <v>9</v>
      </c>
      <c r="D9" s="115" t="s">
        <v>2</v>
      </c>
    </row>
    <row r="10" spans="2:7" ht="24.95" customHeight="1" x14ac:dyDescent="0.2">
      <c r="B10" s="91">
        <v>0.1</v>
      </c>
      <c r="C10" s="91">
        <f t="shared" ref="C10:C21" si="0">$B10*$D$5*60/1000</f>
        <v>0.42</v>
      </c>
      <c r="D10" s="116">
        <f t="shared" ref="D10:D21" si="1">$C10*$D$4/$D$3</f>
        <v>5.25</v>
      </c>
    </row>
    <row r="11" spans="2:7" ht="24.95" customHeight="1" x14ac:dyDescent="0.2">
      <c r="B11" s="91">
        <v>0.15</v>
      </c>
      <c r="C11" s="91">
        <f t="shared" si="0"/>
        <v>0.63</v>
      </c>
      <c r="D11" s="116">
        <f t="shared" si="1"/>
        <v>7.875</v>
      </c>
    </row>
    <row r="12" spans="2:7" ht="24.95" customHeight="1" x14ac:dyDescent="0.2">
      <c r="B12" s="91">
        <v>0.2</v>
      </c>
      <c r="C12" s="91">
        <f t="shared" si="0"/>
        <v>0.84</v>
      </c>
      <c r="D12" s="116">
        <f t="shared" si="1"/>
        <v>10.5</v>
      </c>
    </row>
    <row r="13" spans="2:7" ht="24.95" customHeight="1" x14ac:dyDescent="0.2">
      <c r="B13" s="91">
        <v>0.25</v>
      </c>
      <c r="C13" s="91">
        <f t="shared" si="0"/>
        <v>1.05</v>
      </c>
      <c r="D13" s="116">
        <f t="shared" si="1"/>
        <v>13.125</v>
      </c>
    </row>
    <row r="14" spans="2:7" ht="24.95" customHeight="1" x14ac:dyDescent="0.2">
      <c r="B14" s="91">
        <v>0.3</v>
      </c>
      <c r="C14" s="91">
        <f t="shared" si="0"/>
        <v>1.26</v>
      </c>
      <c r="D14" s="116">
        <f t="shared" si="1"/>
        <v>15.75</v>
      </c>
    </row>
    <row r="15" spans="2:7" ht="24.95" customHeight="1" x14ac:dyDescent="0.2">
      <c r="B15" s="91">
        <v>0.4</v>
      </c>
      <c r="C15" s="91">
        <f t="shared" si="0"/>
        <v>1.68</v>
      </c>
      <c r="D15" s="116">
        <f t="shared" si="1"/>
        <v>21</v>
      </c>
    </row>
    <row r="16" spans="2:7" ht="24.95" customHeight="1" x14ac:dyDescent="0.2">
      <c r="B16" s="91">
        <v>0.5</v>
      </c>
      <c r="C16" s="91">
        <f t="shared" si="0"/>
        <v>2.1</v>
      </c>
      <c r="D16" s="116">
        <f t="shared" si="1"/>
        <v>26.25</v>
      </c>
    </row>
    <row r="17" spans="2:4" ht="24.95" customHeight="1" x14ac:dyDescent="0.2">
      <c r="B17" s="91">
        <v>0.6</v>
      </c>
      <c r="C17" s="91">
        <f t="shared" si="0"/>
        <v>2.52</v>
      </c>
      <c r="D17" s="116">
        <f t="shared" si="1"/>
        <v>31.5</v>
      </c>
    </row>
    <row r="18" spans="2:4" ht="24.95" customHeight="1" x14ac:dyDescent="0.2">
      <c r="B18" s="91">
        <v>0.7</v>
      </c>
      <c r="C18" s="91">
        <f t="shared" si="0"/>
        <v>2.94</v>
      </c>
      <c r="D18" s="116">
        <f t="shared" si="1"/>
        <v>36.75</v>
      </c>
    </row>
    <row r="19" spans="2:4" ht="24.95" customHeight="1" x14ac:dyDescent="0.2">
      <c r="B19" s="91">
        <v>0.8</v>
      </c>
      <c r="C19" s="91">
        <f t="shared" si="0"/>
        <v>3.36</v>
      </c>
      <c r="D19" s="116">
        <f t="shared" si="1"/>
        <v>42</v>
      </c>
    </row>
    <row r="20" spans="2:4" ht="24.95" customHeight="1" x14ac:dyDescent="0.2">
      <c r="B20" s="91">
        <v>0.9</v>
      </c>
      <c r="C20" s="91">
        <f t="shared" si="0"/>
        <v>3.78</v>
      </c>
      <c r="D20" s="116">
        <f t="shared" si="1"/>
        <v>47.25</v>
      </c>
    </row>
    <row r="21" spans="2:4" ht="24.95" customHeight="1" x14ac:dyDescent="0.2">
      <c r="B21" s="91">
        <v>1</v>
      </c>
      <c r="C21" s="91">
        <f t="shared" si="0"/>
        <v>4.2</v>
      </c>
      <c r="D21" s="116">
        <f t="shared" si="1"/>
        <v>52.5</v>
      </c>
    </row>
  </sheetData>
  <sheetProtection algorithmName="SHA-512" hashValue="X9HT6bapynJiFYcry3kQ3nCDHIS6UxksGfxDbPlcsOwTEqQFG/zF7LiyLzpKKaDpifMJqXgu+PC8IE7wBSS2YQ==" saltValue="CVIvDdM7jyyKC+L3xsGyzg==" spinCount="100000" sheet="1" objects="1" scenarios="1" selectLockedCells="1"/>
  <phoneticPr fontId="0" type="noConversion"/>
  <printOptions horizontalCentered="1"/>
  <pageMargins left="0.78740157480314965" right="0.86614173228346458" top="1.0629921259842521" bottom="0.98425196850393704" header="0.51181102362204722" footer="0.51181102362204722"/>
  <pageSetup paperSize="9" orientation="portrait" horizontalDpi="300" verticalDpi="300" r:id="rId1"/>
  <headerFooter alignWithMargins="0">
    <oddFooter>&amp;C&amp;8Richard Pearson   &amp;D  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23"/>
  <sheetViews>
    <sheetView windowProtection="1" showGridLines="0" showRowColHeaders="0" zoomScale="85" zoomScaleNormal="85" workbookViewId="0">
      <selection activeCell="D3" sqref="D3"/>
    </sheetView>
  </sheetViews>
  <sheetFormatPr defaultRowHeight="17.25" x14ac:dyDescent="0.2"/>
  <cols>
    <col min="1" max="1" width="2.80078125" customWidth="1"/>
    <col min="2" max="2" width="16.8046875" customWidth="1"/>
    <col min="3" max="3" width="7.2578125" customWidth="1"/>
    <col min="4" max="4" width="18.7734375" customWidth="1"/>
    <col min="6" max="6" width="13.5859375" customWidth="1"/>
  </cols>
  <sheetData>
    <row r="1" spans="2:4" ht="9.9499999999999993" customHeight="1" x14ac:dyDescent="0.2"/>
    <row r="2" spans="2:4" ht="21.95" customHeight="1" x14ac:dyDescent="0.2">
      <c r="B2" s="87" t="s">
        <v>0</v>
      </c>
      <c r="C2" s="2"/>
      <c r="D2" s="301" t="s">
        <v>11</v>
      </c>
    </row>
    <row r="3" spans="2:4" ht="21.95" customHeight="1" x14ac:dyDescent="0.2">
      <c r="B3" s="87" t="s">
        <v>3</v>
      </c>
      <c r="C3" s="2"/>
      <c r="D3" s="107">
        <v>250</v>
      </c>
    </row>
    <row r="4" spans="2:4" ht="21.95" customHeight="1" x14ac:dyDescent="0.2">
      <c r="B4" s="87" t="s">
        <v>4</v>
      </c>
      <c r="C4" s="2"/>
      <c r="D4" s="108">
        <v>50</v>
      </c>
    </row>
    <row r="5" spans="2:4" ht="21.95" customHeight="1" x14ac:dyDescent="0.2">
      <c r="B5" s="87" t="s">
        <v>5</v>
      </c>
      <c r="C5" s="2"/>
      <c r="D5" s="109">
        <v>70</v>
      </c>
    </row>
    <row r="6" spans="2:4" ht="21.95" customHeight="1" x14ac:dyDescent="0.2">
      <c r="B6" s="87" t="s">
        <v>6</v>
      </c>
      <c r="C6" s="2"/>
      <c r="D6" s="300">
        <v>20</v>
      </c>
    </row>
    <row r="7" spans="2:4" ht="20.100000000000001" customHeight="1" x14ac:dyDescent="0.2">
      <c r="B7" s="2"/>
      <c r="C7" s="2"/>
      <c r="D7" s="2"/>
    </row>
    <row r="8" spans="2:4" ht="24.95" customHeight="1" x14ac:dyDescent="0.2">
      <c r="B8" s="89" t="s">
        <v>1</v>
      </c>
      <c r="C8" s="89"/>
      <c r="D8" s="115" t="s">
        <v>8</v>
      </c>
    </row>
    <row r="9" spans="2:4" ht="24.95" customHeight="1" x14ac:dyDescent="0.2">
      <c r="B9" s="89" t="s">
        <v>7</v>
      </c>
      <c r="C9" s="89" t="s">
        <v>9</v>
      </c>
      <c r="D9" s="115" t="s">
        <v>2</v>
      </c>
    </row>
    <row r="10" spans="2:4" ht="24.95" customHeight="1" x14ac:dyDescent="0.2">
      <c r="B10" s="111">
        <v>1</v>
      </c>
      <c r="C10" s="112">
        <f t="shared" ref="C10:C22" si="0">$B10*$D$5*60/1000</f>
        <v>4.2</v>
      </c>
      <c r="D10" s="116">
        <f t="shared" ref="D10:D22" si="1">C10*$D$4/$D$3</f>
        <v>0.84</v>
      </c>
    </row>
    <row r="11" spans="2:4" ht="24.95" customHeight="1" x14ac:dyDescent="0.2">
      <c r="B11" s="111">
        <v>2</v>
      </c>
      <c r="C11" s="112">
        <f t="shared" si="0"/>
        <v>8.4</v>
      </c>
      <c r="D11" s="116">
        <f t="shared" si="1"/>
        <v>1.68</v>
      </c>
    </row>
    <row r="12" spans="2:4" ht="24.95" customHeight="1" x14ac:dyDescent="0.2">
      <c r="B12" s="111">
        <v>3</v>
      </c>
      <c r="C12" s="112">
        <f t="shared" si="0"/>
        <v>12.6</v>
      </c>
      <c r="D12" s="116">
        <f t="shared" si="1"/>
        <v>2.52</v>
      </c>
    </row>
    <row r="13" spans="2:4" ht="24.95" customHeight="1" x14ac:dyDescent="0.2">
      <c r="B13" s="111">
        <v>4</v>
      </c>
      <c r="C13" s="112">
        <f t="shared" si="0"/>
        <v>16.8</v>
      </c>
      <c r="D13" s="116">
        <f t="shared" si="1"/>
        <v>3.36</v>
      </c>
    </row>
    <row r="14" spans="2:4" ht="24.95" customHeight="1" x14ac:dyDescent="0.2">
      <c r="B14" s="111">
        <v>5</v>
      </c>
      <c r="C14" s="112">
        <f t="shared" si="0"/>
        <v>21</v>
      </c>
      <c r="D14" s="116">
        <f t="shared" si="1"/>
        <v>4.2</v>
      </c>
    </row>
    <row r="15" spans="2:4" ht="24.95" customHeight="1" x14ac:dyDescent="0.2">
      <c r="B15" s="111">
        <v>6</v>
      </c>
      <c r="C15" s="112">
        <f t="shared" si="0"/>
        <v>25.2</v>
      </c>
      <c r="D15" s="116">
        <f t="shared" si="1"/>
        <v>5.04</v>
      </c>
    </row>
    <row r="16" spans="2:4" ht="24.95" customHeight="1" x14ac:dyDescent="0.2">
      <c r="B16" s="111">
        <v>8</v>
      </c>
      <c r="C16" s="112">
        <f t="shared" si="0"/>
        <v>33.6</v>
      </c>
      <c r="D16" s="116">
        <f t="shared" si="1"/>
        <v>6.72</v>
      </c>
    </row>
    <row r="17" spans="2:4" ht="24.95" customHeight="1" x14ac:dyDescent="0.2">
      <c r="B17" s="111">
        <v>10</v>
      </c>
      <c r="C17" s="112">
        <f t="shared" si="0"/>
        <v>42</v>
      </c>
      <c r="D17" s="116">
        <f t="shared" si="1"/>
        <v>8.4</v>
      </c>
    </row>
    <row r="18" spans="2:4" ht="24.95" customHeight="1" x14ac:dyDescent="0.2">
      <c r="B18" s="111">
        <v>12</v>
      </c>
      <c r="C18" s="112">
        <f t="shared" si="0"/>
        <v>50.4</v>
      </c>
      <c r="D18" s="116">
        <f t="shared" si="1"/>
        <v>10.08</v>
      </c>
    </row>
    <row r="19" spans="2:4" ht="24.95" customHeight="1" x14ac:dyDescent="0.2">
      <c r="B19" s="111">
        <v>14</v>
      </c>
      <c r="C19" s="112">
        <f t="shared" si="0"/>
        <v>58.8</v>
      </c>
      <c r="D19" s="116">
        <f t="shared" si="1"/>
        <v>11.76</v>
      </c>
    </row>
    <row r="20" spans="2:4" ht="24.95" customHeight="1" x14ac:dyDescent="0.2">
      <c r="B20" s="111">
        <v>16</v>
      </c>
      <c r="C20" s="112">
        <f t="shared" si="0"/>
        <v>67.2</v>
      </c>
      <c r="D20" s="116">
        <f t="shared" si="1"/>
        <v>13.44</v>
      </c>
    </row>
    <row r="21" spans="2:4" ht="24.95" customHeight="1" x14ac:dyDescent="0.2">
      <c r="B21" s="111">
        <v>18</v>
      </c>
      <c r="C21" s="112">
        <f t="shared" si="0"/>
        <v>75.599999999999994</v>
      </c>
      <c r="D21" s="116">
        <f t="shared" si="1"/>
        <v>15.119999999999997</v>
      </c>
    </row>
    <row r="22" spans="2:4" ht="24.95" customHeight="1" x14ac:dyDescent="0.2">
      <c r="B22" s="111">
        <v>20</v>
      </c>
      <c r="C22" s="112">
        <f t="shared" si="0"/>
        <v>84</v>
      </c>
      <c r="D22" s="116">
        <f t="shared" si="1"/>
        <v>16.8</v>
      </c>
    </row>
    <row r="23" spans="2:4" x14ac:dyDescent="0.2">
      <c r="B23" s="46"/>
      <c r="C23" s="46"/>
    </row>
  </sheetData>
  <sheetProtection algorithmName="SHA-512" hashValue="CEcBfCwellu6vpU0zADdGB81AJXdgd/8vNBvfrg5hr0w5hzIrOsINjWMQ0tay9bN3gEoaaW8s0sfll2gYJi1UA==" saltValue="ILTPXvrhYrhADc6uyJ889A==" spinCount="100000" sheet="1" objects="1" scenarios="1" selectLockedCells="1"/>
  <phoneticPr fontId="0" type="noConversion"/>
  <printOptions horizontalCentered="1"/>
  <pageMargins left="0.78740157480314965" right="0.86614173228346458" top="1.2204724409448819" bottom="0.98425196850393704" header="0.51181102362204722" footer="0.51181102362204722"/>
  <pageSetup paperSize="9" orientation="portrait" horizontalDpi="300" verticalDpi="300" r:id="rId1"/>
  <headerFooter alignWithMargins="0">
    <oddFooter>&amp;C&amp;8Richard Pearson   &amp;D  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29"/>
  <sheetViews>
    <sheetView windowProtection="1" showGridLines="0" showRowColHeaders="0" zoomScale="85" zoomScaleNormal="85" workbookViewId="0">
      <selection activeCell="D3" sqref="D3"/>
    </sheetView>
  </sheetViews>
  <sheetFormatPr defaultRowHeight="17.25" x14ac:dyDescent="0.2"/>
  <cols>
    <col min="1" max="1" width="2.80078125" customWidth="1"/>
    <col min="2" max="2" width="20.74609375" customWidth="1"/>
    <col min="3" max="3" width="7.2578125" customWidth="1"/>
    <col min="4" max="4" width="18.7734375" customWidth="1"/>
    <col min="5" max="5" width="16.59375" style="84" customWidth="1"/>
    <col min="7" max="7" width="13.5859375" customWidth="1"/>
  </cols>
  <sheetData>
    <row r="1" spans="2:5" ht="9.9499999999999993" customHeight="1" x14ac:dyDescent="0.2"/>
    <row r="2" spans="2:5" ht="21.95" customHeight="1" x14ac:dyDescent="0.2">
      <c r="B2" s="87" t="s">
        <v>0</v>
      </c>
      <c r="C2" s="87"/>
      <c r="D2" s="301" t="s">
        <v>105</v>
      </c>
      <c r="E2" s="88"/>
    </row>
    <row r="3" spans="2:5" ht="21.95" customHeight="1" x14ac:dyDescent="0.2">
      <c r="B3" s="87" t="s">
        <v>3</v>
      </c>
      <c r="C3" s="87"/>
      <c r="D3" s="107">
        <v>5</v>
      </c>
      <c r="E3" s="88"/>
    </row>
    <row r="4" spans="2:5" ht="21.95" customHeight="1" x14ac:dyDescent="0.2">
      <c r="B4" s="87" t="s">
        <v>4</v>
      </c>
      <c r="C4" s="87"/>
      <c r="D4" s="108">
        <v>500</v>
      </c>
      <c r="E4" s="88"/>
    </row>
    <row r="5" spans="2:5" ht="21.95" customHeight="1" x14ac:dyDescent="0.2">
      <c r="B5" s="87" t="s">
        <v>5</v>
      </c>
      <c r="C5" s="87"/>
      <c r="D5" s="109">
        <v>11</v>
      </c>
      <c r="E5" s="88"/>
    </row>
    <row r="6" spans="2:5" ht="21.95" customHeight="1" x14ac:dyDescent="0.2">
      <c r="B6" s="87" t="s">
        <v>6</v>
      </c>
      <c r="C6" s="87"/>
      <c r="D6" s="302">
        <v>0.4</v>
      </c>
      <c r="E6" s="88"/>
    </row>
    <row r="7" spans="2:5" ht="21.95" customHeight="1" x14ac:dyDescent="0.2">
      <c r="B7" s="87" t="s">
        <v>144</v>
      </c>
      <c r="C7" s="87"/>
      <c r="D7" s="110">
        <f>IF(5*$D$5&gt;250,250,5*$D$5)</f>
        <v>55</v>
      </c>
      <c r="E7" s="88"/>
    </row>
    <row r="8" spans="2:5" ht="20.100000000000001" customHeight="1" x14ac:dyDescent="0.2">
      <c r="B8" s="87" t="s">
        <v>145</v>
      </c>
      <c r="C8" s="87"/>
      <c r="D8" s="110">
        <f>IF(15*$D$5&gt;250,250,15*$D$5)</f>
        <v>165</v>
      </c>
      <c r="E8" s="88"/>
    </row>
    <row r="9" spans="2:5" ht="21.95" customHeight="1" x14ac:dyDescent="0.2">
      <c r="B9" s="89" t="s">
        <v>1</v>
      </c>
      <c r="C9" s="89"/>
      <c r="D9" s="89"/>
      <c r="E9" s="90" t="s">
        <v>8</v>
      </c>
    </row>
    <row r="10" spans="2:5" ht="24.95" customHeight="1" x14ac:dyDescent="0.2">
      <c r="B10" s="89" t="s">
        <v>7</v>
      </c>
      <c r="C10" s="89" t="s">
        <v>9</v>
      </c>
      <c r="D10" s="113" t="s">
        <v>106</v>
      </c>
      <c r="E10" s="90" t="s">
        <v>2</v>
      </c>
    </row>
    <row r="11" spans="2:5" ht="24.95" customHeight="1" x14ac:dyDescent="0.2">
      <c r="B11" s="91">
        <v>0.04</v>
      </c>
      <c r="C11" s="91">
        <f t="shared" ref="C11:C23" si="0">$B11*$D$5*60/1000</f>
        <v>2.64E-2</v>
      </c>
      <c r="D11" s="114">
        <f t="shared" ref="D11:D23" si="1">$B11*$D$5</f>
        <v>0.44</v>
      </c>
      <c r="E11" s="92">
        <f t="shared" ref="E11:E23" si="2">$C11*$D$4/$D$3</f>
        <v>2.6399999999999997</v>
      </c>
    </row>
    <row r="12" spans="2:5" ht="24.95" customHeight="1" x14ac:dyDescent="0.2">
      <c r="B12" s="91">
        <v>0.06</v>
      </c>
      <c r="C12" s="91">
        <f t="shared" si="0"/>
        <v>3.9599999999999996E-2</v>
      </c>
      <c r="D12" s="114">
        <f t="shared" si="1"/>
        <v>0.65999999999999992</v>
      </c>
      <c r="E12" s="92">
        <f t="shared" si="2"/>
        <v>3.9599999999999995</v>
      </c>
    </row>
    <row r="13" spans="2:5" ht="24.95" customHeight="1" x14ac:dyDescent="0.2">
      <c r="B13" s="91">
        <v>0.08</v>
      </c>
      <c r="C13" s="91">
        <f t="shared" si="0"/>
        <v>5.28E-2</v>
      </c>
      <c r="D13" s="114">
        <f t="shared" si="1"/>
        <v>0.88</v>
      </c>
      <c r="E13" s="92">
        <f t="shared" si="2"/>
        <v>5.2799999999999994</v>
      </c>
    </row>
    <row r="14" spans="2:5" ht="24.95" customHeight="1" x14ac:dyDescent="0.2">
      <c r="B14" s="91">
        <v>0.1</v>
      </c>
      <c r="C14" s="91">
        <f t="shared" si="0"/>
        <v>6.6000000000000003E-2</v>
      </c>
      <c r="D14" s="114">
        <f t="shared" si="1"/>
        <v>1.1000000000000001</v>
      </c>
      <c r="E14" s="92">
        <f t="shared" si="2"/>
        <v>6.6</v>
      </c>
    </row>
    <row r="15" spans="2:5" ht="24.95" customHeight="1" x14ac:dyDescent="0.2">
      <c r="B15" s="91">
        <v>0.12</v>
      </c>
      <c r="C15" s="91">
        <f t="shared" si="0"/>
        <v>7.9199999999999993E-2</v>
      </c>
      <c r="D15" s="114">
        <f t="shared" si="1"/>
        <v>1.3199999999999998</v>
      </c>
      <c r="E15" s="92">
        <f t="shared" si="2"/>
        <v>7.919999999999999</v>
      </c>
    </row>
    <row r="16" spans="2:5" ht="24.95" customHeight="1" x14ac:dyDescent="0.2">
      <c r="B16" s="91">
        <v>0.14000000000000001</v>
      </c>
      <c r="C16" s="91">
        <f t="shared" si="0"/>
        <v>9.240000000000001E-2</v>
      </c>
      <c r="D16" s="114">
        <f t="shared" si="1"/>
        <v>1.54</v>
      </c>
      <c r="E16" s="92">
        <f t="shared" si="2"/>
        <v>9.24</v>
      </c>
    </row>
    <row r="17" spans="2:5" ht="24.95" customHeight="1" x14ac:dyDescent="0.2">
      <c r="B17" s="91">
        <v>0.16</v>
      </c>
      <c r="C17" s="91">
        <f t="shared" si="0"/>
        <v>0.1056</v>
      </c>
      <c r="D17" s="114">
        <f t="shared" si="1"/>
        <v>1.76</v>
      </c>
      <c r="E17" s="92">
        <f t="shared" si="2"/>
        <v>10.559999999999999</v>
      </c>
    </row>
    <row r="18" spans="2:5" ht="24.95" customHeight="1" x14ac:dyDescent="0.2">
      <c r="B18" s="91">
        <v>0.18</v>
      </c>
      <c r="C18" s="91">
        <f t="shared" si="0"/>
        <v>0.1188</v>
      </c>
      <c r="D18" s="114">
        <f t="shared" si="1"/>
        <v>1.98</v>
      </c>
      <c r="E18" s="92">
        <f t="shared" si="2"/>
        <v>11.879999999999999</v>
      </c>
    </row>
    <row r="19" spans="2:5" ht="24.95" customHeight="1" x14ac:dyDescent="0.2">
      <c r="B19" s="91">
        <v>0.2</v>
      </c>
      <c r="C19" s="91">
        <f t="shared" si="0"/>
        <v>0.13200000000000001</v>
      </c>
      <c r="D19" s="114">
        <f t="shared" si="1"/>
        <v>2.2000000000000002</v>
      </c>
      <c r="E19" s="92">
        <f t="shared" si="2"/>
        <v>13.2</v>
      </c>
    </row>
    <row r="20" spans="2:5" ht="24.95" customHeight="1" x14ac:dyDescent="0.2">
      <c r="B20" s="91">
        <v>0.25</v>
      </c>
      <c r="C20" s="91">
        <f t="shared" si="0"/>
        <v>0.16500000000000001</v>
      </c>
      <c r="D20" s="114">
        <f t="shared" si="1"/>
        <v>2.75</v>
      </c>
      <c r="E20" s="92">
        <f t="shared" si="2"/>
        <v>16.5</v>
      </c>
    </row>
    <row r="21" spans="2:5" ht="24.95" customHeight="1" x14ac:dyDescent="0.2">
      <c r="B21" s="91">
        <v>0.3</v>
      </c>
      <c r="C21" s="91">
        <f t="shared" si="0"/>
        <v>0.19800000000000001</v>
      </c>
      <c r="D21" s="114">
        <f t="shared" si="1"/>
        <v>3.3</v>
      </c>
      <c r="E21" s="92">
        <f t="shared" si="2"/>
        <v>19.8</v>
      </c>
    </row>
    <row r="22" spans="2:5" ht="24.95" customHeight="1" x14ac:dyDescent="0.2">
      <c r="B22" s="91">
        <v>0.35</v>
      </c>
      <c r="C22" s="91">
        <f t="shared" si="0"/>
        <v>0.23099999999999998</v>
      </c>
      <c r="D22" s="114">
        <f t="shared" si="1"/>
        <v>3.8499999999999996</v>
      </c>
      <c r="E22" s="92">
        <f t="shared" si="2"/>
        <v>23.099999999999998</v>
      </c>
    </row>
    <row r="23" spans="2:5" ht="24.95" customHeight="1" x14ac:dyDescent="0.2">
      <c r="B23" s="91">
        <v>0.4</v>
      </c>
      <c r="C23" s="91">
        <f t="shared" si="0"/>
        <v>0.26400000000000001</v>
      </c>
      <c r="D23" s="114">
        <f t="shared" si="1"/>
        <v>4.4000000000000004</v>
      </c>
      <c r="E23" s="92">
        <f t="shared" si="2"/>
        <v>26.4</v>
      </c>
    </row>
    <row r="24" spans="2:5" ht="20.100000000000001" customHeight="1" x14ac:dyDescent="0.2">
      <c r="B24" s="1"/>
      <c r="C24" s="1"/>
      <c r="D24" s="1"/>
      <c r="E24" s="86"/>
    </row>
    <row r="25" spans="2:5" ht="20.100000000000001" customHeight="1" x14ac:dyDescent="0.2">
      <c r="B25" s="1"/>
      <c r="C25" s="1"/>
      <c r="D25" s="1"/>
      <c r="E25" s="86"/>
    </row>
    <row r="26" spans="2:5" ht="20.100000000000001" customHeight="1" x14ac:dyDescent="0.2">
      <c r="B26" s="1"/>
      <c r="C26" s="1"/>
      <c r="D26" s="1"/>
      <c r="E26" s="86"/>
    </row>
    <row r="27" spans="2:5" ht="20.100000000000001" customHeight="1" x14ac:dyDescent="0.2">
      <c r="B27" s="1"/>
      <c r="C27" s="1"/>
      <c r="D27" s="1"/>
      <c r="E27" s="86"/>
    </row>
    <row r="28" spans="2:5" ht="20.100000000000001" customHeight="1" x14ac:dyDescent="0.2">
      <c r="B28" s="1"/>
      <c r="C28" s="1"/>
      <c r="D28" s="1"/>
      <c r="E28" s="86"/>
    </row>
    <row r="29" spans="2:5" ht="20.100000000000001" customHeight="1" x14ac:dyDescent="0.2">
      <c r="B29" s="1"/>
      <c r="C29" s="1"/>
      <c r="D29" s="1"/>
      <c r="E29" s="86"/>
    </row>
  </sheetData>
  <sheetProtection algorithmName="SHA-512" hashValue="CRyJ8agR2yoIwiusgXAFPqQEtFt/+UrCBMN+S5GxL5+qUCKeGAgzt1S4W+hUTDzumPGv/EeCbSjXR6Y3kYg7iA==" saltValue="pql46F1zqaUwSzyLzpFzKQ==" spinCount="100000" sheet="1" objects="1" scenarios="1" selectLockedCells="1"/>
  <phoneticPr fontId="0" type="noConversion"/>
  <printOptions horizontalCentered="1"/>
  <pageMargins left="0.78740157480314965" right="0.86614173228346458" top="1.0629921259842521" bottom="0.98425196850393704" header="0.51181102362204722" footer="0.51181102362204722"/>
  <pageSetup paperSize="9" orientation="portrait" horizontalDpi="300" verticalDpi="300" r:id="rId1"/>
  <headerFooter alignWithMargins="0">
    <oddFooter>&amp;C&amp;8Richard Pearson   &amp;D  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16"/>
  <sheetViews>
    <sheetView windowProtection="1" showGridLines="0" showRowColHeaders="0" zoomScaleNormal="75" workbookViewId="0">
      <selection activeCell="B3" sqref="B3"/>
    </sheetView>
  </sheetViews>
  <sheetFormatPr defaultColWidth="8.91796875" defaultRowHeight="12.75" x14ac:dyDescent="0.15"/>
  <cols>
    <col min="1" max="1" width="2.80078125" style="24" customWidth="1"/>
    <col min="2" max="2" width="6.7421875" style="24" customWidth="1"/>
    <col min="3" max="3" width="8.81640625" style="24" customWidth="1"/>
    <col min="4" max="4" width="9.75" style="24" customWidth="1"/>
    <col min="5" max="5" width="9.4375" style="24" customWidth="1"/>
    <col min="6" max="7" width="7.984375" style="24" customWidth="1"/>
    <col min="8" max="8" width="7.5703125" style="24" customWidth="1"/>
    <col min="9" max="9" width="11.82421875" style="24" customWidth="1"/>
    <col min="10" max="10" width="18.7734375" style="24" customWidth="1"/>
    <col min="11" max="11" width="14.7265625" style="24" customWidth="1"/>
    <col min="12" max="16384" width="8.91796875" style="24"/>
  </cols>
  <sheetData>
    <row r="1" spans="2:11" ht="9.9499999999999993" customHeight="1" x14ac:dyDescent="0.15"/>
    <row r="2" spans="2:11" ht="44.1" customHeight="1" thickBot="1" x14ac:dyDescent="0.2">
      <c r="B2" s="25"/>
      <c r="C2" s="25"/>
      <c r="E2" s="96"/>
      <c r="F2" s="96" t="s">
        <v>133</v>
      </c>
      <c r="G2" s="25"/>
      <c r="H2" s="25"/>
      <c r="I2" s="25"/>
      <c r="J2" s="25"/>
    </row>
    <row r="3" spans="2:11" ht="35.25" customHeight="1" thickBot="1" x14ac:dyDescent="0.2">
      <c r="B3" s="42" t="s">
        <v>18</v>
      </c>
      <c r="C3" s="157" t="s">
        <v>14</v>
      </c>
      <c r="D3" s="97" t="s">
        <v>127</v>
      </c>
      <c r="E3" s="353" t="s">
        <v>72</v>
      </c>
      <c r="F3" s="354"/>
      <c r="G3" s="355" t="s">
        <v>71</v>
      </c>
      <c r="H3" s="356"/>
      <c r="I3" s="43" t="s">
        <v>134</v>
      </c>
      <c r="J3" s="43" t="s">
        <v>125</v>
      </c>
      <c r="K3" s="42" t="s">
        <v>120</v>
      </c>
    </row>
    <row r="4" spans="2:11" ht="26.1" customHeight="1" thickBot="1" x14ac:dyDescent="0.2">
      <c r="B4" s="122"/>
      <c r="C4" s="158"/>
      <c r="D4" s="123" t="s">
        <v>132</v>
      </c>
      <c r="E4" s="124" t="s">
        <v>70</v>
      </c>
      <c r="F4" s="125" t="s">
        <v>69</v>
      </c>
      <c r="G4" s="126" t="s">
        <v>68</v>
      </c>
      <c r="H4" s="127" t="s">
        <v>67</v>
      </c>
      <c r="I4" s="128" t="s">
        <v>66</v>
      </c>
      <c r="J4" s="129" t="s">
        <v>126</v>
      </c>
      <c r="K4" s="130" t="s">
        <v>121</v>
      </c>
    </row>
    <row r="5" spans="2:11" ht="26.1" customHeight="1" x14ac:dyDescent="0.15">
      <c r="B5" s="98">
        <v>1</v>
      </c>
      <c r="C5" s="169">
        <f>($B5*2)+8</f>
        <v>10</v>
      </c>
      <c r="D5" s="159">
        <f>ROUND(2*(($B5/4)+4),0)/2</f>
        <v>4.5</v>
      </c>
      <c r="E5" s="137">
        <f t="shared" ref="E5:E16" si="0">C5*0.1</f>
        <v>1</v>
      </c>
      <c r="F5" s="137">
        <f>C5*0.01</f>
        <v>0.1</v>
      </c>
      <c r="G5" s="138">
        <f>C5*2</f>
        <v>20</v>
      </c>
      <c r="H5" s="138">
        <f>C5*4</f>
        <v>40</v>
      </c>
      <c r="I5" s="139">
        <f t="shared" ref="I5:I16" si="1">C5*20</f>
        <v>200</v>
      </c>
      <c r="J5" s="140">
        <f>IF($C5&lt;10,$C5*4,IF($C5&lt;20,40+2*($C5-10),60+($C5-20)))</f>
        <v>40</v>
      </c>
      <c r="K5" s="141">
        <f>$C5*2</f>
        <v>20</v>
      </c>
    </row>
    <row r="6" spans="2:11" ht="26.1" customHeight="1" x14ac:dyDescent="0.15">
      <c r="B6" s="99">
        <v>2</v>
      </c>
      <c r="C6" s="170">
        <f>($B6*2)+8</f>
        <v>12</v>
      </c>
      <c r="D6" s="160">
        <f t="shared" ref="D6:D16" si="2">ROUND(2*(($B6/4)+4),0)/2</f>
        <v>4.5</v>
      </c>
      <c r="E6" s="132">
        <f t="shared" si="0"/>
        <v>1.2000000000000002</v>
      </c>
      <c r="F6" s="132">
        <f t="shared" ref="F6:F16" si="3">C6*0.01</f>
        <v>0.12</v>
      </c>
      <c r="G6" s="133">
        <v>20</v>
      </c>
      <c r="H6" s="133">
        <v>50</v>
      </c>
      <c r="I6" s="134">
        <f t="shared" si="1"/>
        <v>240</v>
      </c>
      <c r="J6" s="135">
        <f>IF($C6&lt;10,$C6*4,IF($C6&lt;20,40+2*($C6-10),60+($C6-20)))</f>
        <v>44</v>
      </c>
      <c r="K6" s="142">
        <f t="shared" ref="K6:K16" si="4">$C6*2</f>
        <v>24</v>
      </c>
    </row>
    <row r="7" spans="2:11" ht="26.1" customHeight="1" x14ac:dyDescent="0.15">
      <c r="B7" s="99">
        <v>3</v>
      </c>
      <c r="C7" s="170">
        <f>($B7*2)+8</f>
        <v>14</v>
      </c>
      <c r="D7" s="160">
        <f t="shared" si="2"/>
        <v>5</v>
      </c>
      <c r="E7" s="132">
        <f t="shared" si="0"/>
        <v>1.4000000000000001</v>
      </c>
      <c r="F7" s="132">
        <f t="shared" si="3"/>
        <v>0.14000000000000001</v>
      </c>
      <c r="G7" s="133">
        <v>30</v>
      </c>
      <c r="H7" s="133">
        <v>50</v>
      </c>
      <c r="I7" s="134">
        <f t="shared" si="1"/>
        <v>280</v>
      </c>
      <c r="J7" s="135">
        <f t="shared" ref="J7:J16" si="5">IF($C7&lt;10,$C7*4,IF($C7&lt;20,40+2*($C7-10),60+($C7-20)))</f>
        <v>48</v>
      </c>
      <c r="K7" s="142">
        <f t="shared" si="4"/>
        <v>28</v>
      </c>
    </row>
    <row r="8" spans="2:11" ht="26.1" customHeight="1" x14ac:dyDescent="0.15">
      <c r="B8" s="99">
        <v>4</v>
      </c>
      <c r="C8" s="170">
        <f>($B8*2)+8</f>
        <v>16</v>
      </c>
      <c r="D8" s="160">
        <f t="shared" si="2"/>
        <v>5</v>
      </c>
      <c r="E8" s="132">
        <f t="shared" si="0"/>
        <v>1.6</v>
      </c>
      <c r="F8" s="132">
        <f t="shared" si="3"/>
        <v>0.16</v>
      </c>
      <c r="G8" s="133">
        <v>30</v>
      </c>
      <c r="H8" s="133">
        <v>70</v>
      </c>
      <c r="I8" s="134">
        <f t="shared" si="1"/>
        <v>320</v>
      </c>
      <c r="J8" s="135">
        <f t="shared" si="5"/>
        <v>52</v>
      </c>
      <c r="K8" s="142">
        <f t="shared" si="4"/>
        <v>32</v>
      </c>
    </row>
    <row r="9" spans="2:11" ht="26.1" customHeight="1" thickBot="1" x14ac:dyDescent="0.2">
      <c r="B9" s="100">
        <v>5</v>
      </c>
      <c r="C9" s="171">
        <f>($B9*2)+8</f>
        <v>18</v>
      </c>
      <c r="D9" s="173">
        <f t="shared" si="2"/>
        <v>5.5</v>
      </c>
      <c r="E9" s="174">
        <f t="shared" si="0"/>
        <v>1.8</v>
      </c>
      <c r="F9" s="174">
        <f t="shared" si="3"/>
        <v>0.18</v>
      </c>
      <c r="G9" s="175">
        <v>30</v>
      </c>
      <c r="H9" s="175">
        <v>70</v>
      </c>
      <c r="I9" s="176">
        <f t="shared" si="1"/>
        <v>360</v>
      </c>
      <c r="J9" s="177">
        <f t="shared" si="5"/>
        <v>56</v>
      </c>
      <c r="K9" s="178">
        <f t="shared" si="4"/>
        <v>36</v>
      </c>
    </row>
    <row r="10" spans="2:11" ht="26.1" customHeight="1" x14ac:dyDescent="0.15">
      <c r="B10" s="98">
        <v>6</v>
      </c>
      <c r="C10" s="172">
        <f t="shared" ref="C10:C16" si="6">($B10*3)+7</f>
        <v>25</v>
      </c>
      <c r="D10" s="159">
        <f t="shared" si="2"/>
        <v>5.5</v>
      </c>
      <c r="E10" s="137">
        <f t="shared" si="0"/>
        <v>2.5</v>
      </c>
      <c r="F10" s="137">
        <f t="shared" si="3"/>
        <v>0.25</v>
      </c>
      <c r="G10" s="138">
        <v>50</v>
      </c>
      <c r="H10" s="138">
        <v>70</v>
      </c>
      <c r="I10" s="139">
        <f t="shared" si="1"/>
        <v>500</v>
      </c>
      <c r="J10" s="140">
        <f t="shared" si="5"/>
        <v>65</v>
      </c>
      <c r="K10" s="141">
        <f t="shared" si="4"/>
        <v>50</v>
      </c>
    </row>
    <row r="11" spans="2:11" ht="26.1" customHeight="1" x14ac:dyDescent="0.15">
      <c r="B11" s="99">
        <v>7</v>
      </c>
      <c r="C11" s="170">
        <f t="shared" si="6"/>
        <v>28</v>
      </c>
      <c r="D11" s="160">
        <f t="shared" si="2"/>
        <v>6</v>
      </c>
      <c r="E11" s="132">
        <f t="shared" si="0"/>
        <v>2.8000000000000003</v>
      </c>
      <c r="F11" s="132">
        <f t="shared" si="3"/>
        <v>0.28000000000000003</v>
      </c>
      <c r="G11" s="133">
        <v>50</v>
      </c>
      <c r="H11" s="133">
        <v>100</v>
      </c>
      <c r="I11" s="134">
        <f t="shared" si="1"/>
        <v>560</v>
      </c>
      <c r="J11" s="135">
        <f t="shared" si="5"/>
        <v>68</v>
      </c>
      <c r="K11" s="142">
        <f t="shared" si="4"/>
        <v>56</v>
      </c>
    </row>
    <row r="12" spans="2:11" ht="26.1" customHeight="1" x14ac:dyDescent="0.15">
      <c r="B12" s="99">
        <v>8</v>
      </c>
      <c r="C12" s="170">
        <f t="shared" si="6"/>
        <v>31</v>
      </c>
      <c r="D12" s="160">
        <f t="shared" si="2"/>
        <v>6</v>
      </c>
      <c r="E12" s="132">
        <f t="shared" si="0"/>
        <v>3.1</v>
      </c>
      <c r="F12" s="132">
        <f t="shared" si="3"/>
        <v>0.31</v>
      </c>
      <c r="G12" s="133">
        <v>50</v>
      </c>
      <c r="H12" s="133">
        <v>100</v>
      </c>
      <c r="I12" s="134">
        <f t="shared" si="1"/>
        <v>620</v>
      </c>
      <c r="J12" s="135">
        <f t="shared" si="5"/>
        <v>71</v>
      </c>
      <c r="K12" s="142">
        <f t="shared" si="4"/>
        <v>62</v>
      </c>
    </row>
    <row r="13" spans="2:11" ht="26.1" customHeight="1" x14ac:dyDescent="0.15">
      <c r="B13" s="99">
        <v>9</v>
      </c>
      <c r="C13" s="170">
        <f t="shared" si="6"/>
        <v>34</v>
      </c>
      <c r="D13" s="160">
        <f t="shared" si="2"/>
        <v>6.5</v>
      </c>
      <c r="E13" s="132">
        <f t="shared" si="0"/>
        <v>3.4000000000000004</v>
      </c>
      <c r="F13" s="132">
        <f t="shared" si="3"/>
        <v>0.34</v>
      </c>
      <c r="G13" s="133">
        <v>50</v>
      </c>
      <c r="H13" s="133">
        <v>100</v>
      </c>
      <c r="I13" s="134">
        <f t="shared" si="1"/>
        <v>680</v>
      </c>
      <c r="J13" s="135">
        <f t="shared" si="5"/>
        <v>74</v>
      </c>
      <c r="K13" s="142">
        <f t="shared" si="4"/>
        <v>68</v>
      </c>
    </row>
    <row r="14" spans="2:11" ht="26.1" customHeight="1" x14ac:dyDescent="0.15">
      <c r="B14" s="99">
        <v>10</v>
      </c>
      <c r="C14" s="170">
        <f t="shared" si="6"/>
        <v>37</v>
      </c>
      <c r="D14" s="160">
        <f t="shared" si="2"/>
        <v>6.5</v>
      </c>
      <c r="E14" s="132">
        <f t="shared" si="0"/>
        <v>3.7</v>
      </c>
      <c r="F14" s="132">
        <f t="shared" si="3"/>
        <v>0.37</v>
      </c>
      <c r="G14" s="133">
        <v>70</v>
      </c>
      <c r="H14" s="133">
        <v>100</v>
      </c>
      <c r="I14" s="134">
        <f t="shared" si="1"/>
        <v>740</v>
      </c>
      <c r="J14" s="135">
        <f t="shared" si="5"/>
        <v>77</v>
      </c>
      <c r="K14" s="142">
        <f t="shared" si="4"/>
        <v>74</v>
      </c>
    </row>
    <row r="15" spans="2:11" ht="26.1" customHeight="1" x14ac:dyDescent="0.15">
      <c r="B15" s="99">
        <v>11</v>
      </c>
      <c r="C15" s="170">
        <f t="shared" si="6"/>
        <v>40</v>
      </c>
      <c r="D15" s="160">
        <f t="shared" si="2"/>
        <v>7</v>
      </c>
      <c r="E15" s="132">
        <f t="shared" si="0"/>
        <v>4</v>
      </c>
      <c r="F15" s="132">
        <f t="shared" si="3"/>
        <v>0.4</v>
      </c>
      <c r="G15" s="133">
        <v>70</v>
      </c>
      <c r="H15" s="133">
        <v>150</v>
      </c>
      <c r="I15" s="134">
        <f t="shared" si="1"/>
        <v>800</v>
      </c>
      <c r="J15" s="135">
        <f t="shared" si="5"/>
        <v>80</v>
      </c>
      <c r="K15" s="142">
        <f t="shared" si="4"/>
        <v>80</v>
      </c>
    </row>
    <row r="16" spans="2:11" ht="26.1" customHeight="1" thickBot="1" x14ac:dyDescent="0.2">
      <c r="B16" s="100">
        <v>12</v>
      </c>
      <c r="C16" s="171">
        <f t="shared" si="6"/>
        <v>43</v>
      </c>
      <c r="D16" s="161">
        <f t="shared" si="2"/>
        <v>7</v>
      </c>
      <c r="E16" s="144">
        <f t="shared" si="0"/>
        <v>4.3</v>
      </c>
      <c r="F16" s="144">
        <f t="shared" si="3"/>
        <v>0.43</v>
      </c>
      <c r="G16" s="145">
        <v>100</v>
      </c>
      <c r="H16" s="145">
        <v>150</v>
      </c>
      <c r="I16" s="146">
        <f t="shared" si="1"/>
        <v>860</v>
      </c>
      <c r="J16" s="147">
        <f t="shared" si="5"/>
        <v>83</v>
      </c>
      <c r="K16" s="148">
        <f t="shared" si="4"/>
        <v>86</v>
      </c>
    </row>
  </sheetData>
  <sheetProtection password="8DD1" sheet="1"/>
  <mergeCells count="2">
    <mergeCell ref="E3:F3"/>
    <mergeCell ref="G3:H3"/>
  </mergeCells>
  <phoneticPr fontId="0" type="noConversion"/>
  <pageMargins left="0.74803149606299213" right="0.82677165354330717" top="0.59055118110236227" bottom="0.98425196850393704" header="0.59055118110236227" footer="0.51181102362204722"/>
  <pageSetup paperSize="9" scale="87" orientation="landscape" horizontalDpi="300" verticalDpi="300" r:id="rId1"/>
  <headerFooter alignWithMargins="0">
    <oddFooter>&amp;C&amp;8Richard Pearson   &amp;D  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windowProtection="1" showGridLines="0" showRowColHeaders="0" workbookViewId="0">
      <selection activeCell="B3" sqref="B3"/>
    </sheetView>
  </sheetViews>
  <sheetFormatPr defaultColWidth="8.91796875" defaultRowHeight="12.75" x14ac:dyDescent="0.15"/>
  <cols>
    <col min="1" max="1" width="2.80078125" style="24" customWidth="1"/>
    <col min="2" max="2" width="25.4140625" style="24" customWidth="1"/>
    <col min="3" max="3" width="20.5390625" style="24" customWidth="1"/>
    <col min="4" max="5" width="12.7578125" style="24" customWidth="1"/>
    <col min="6" max="6" width="21.98828125" style="24" customWidth="1"/>
    <col min="7" max="16384" width="8.91796875" style="24"/>
  </cols>
  <sheetData>
    <row r="1" spans="1:6" ht="9.9499999999999993" customHeight="1" x14ac:dyDescent="0.15"/>
    <row r="2" spans="1:6" s="94" customFormat="1" ht="33.950000000000003" customHeight="1" thickBot="1" x14ac:dyDescent="0.25">
      <c r="C2" s="95" t="s">
        <v>128</v>
      </c>
    </row>
    <row r="3" spans="1:6" ht="21.95" customHeight="1" thickTop="1" thickBot="1" x14ac:dyDescent="0.2">
      <c r="A3" s="41"/>
      <c r="B3" s="207">
        <v>5</v>
      </c>
      <c r="C3" s="232">
        <v>0</v>
      </c>
      <c r="D3" s="357">
        <v>0</v>
      </c>
      <c r="E3" s="358"/>
      <c r="F3" s="233">
        <v>5</v>
      </c>
    </row>
    <row r="4" spans="1:6" ht="9.9499999999999993" customHeight="1" thickTop="1" thickBot="1" x14ac:dyDescent="0.2">
      <c r="A4" s="41"/>
      <c r="B4" s="40"/>
      <c r="C4" s="40"/>
      <c r="D4" s="40"/>
      <c r="E4" s="40"/>
      <c r="F4" s="40"/>
    </row>
    <row r="5" spans="1:6" s="25" customFormat="1" ht="21.95" customHeight="1" thickTop="1" thickBot="1" x14ac:dyDescent="0.25">
      <c r="A5" s="28"/>
      <c r="B5" s="305" t="s">
        <v>65</v>
      </c>
      <c r="C5" s="306" t="s">
        <v>13</v>
      </c>
      <c r="D5" s="361" t="s">
        <v>13</v>
      </c>
      <c r="E5" s="362"/>
      <c r="F5" s="309" t="s">
        <v>64</v>
      </c>
    </row>
    <row r="6" spans="1:6" s="25" customFormat="1" ht="21" customHeight="1" thickTop="1" x14ac:dyDescent="0.2">
      <c r="A6" s="28"/>
      <c r="B6" s="304" t="s">
        <v>117</v>
      </c>
      <c r="C6" s="310" t="s">
        <v>116</v>
      </c>
      <c r="D6" s="363">
        <f>$B$3*$C$3/6</f>
        <v>0</v>
      </c>
      <c r="E6" s="364"/>
      <c r="F6" s="311">
        <f>$D$6*2</f>
        <v>0</v>
      </c>
    </row>
    <row r="7" spans="1:6" s="25" customFormat="1" ht="21" customHeight="1" x14ac:dyDescent="0.2">
      <c r="A7" s="28"/>
      <c r="B7" s="34" t="s">
        <v>63</v>
      </c>
      <c r="C7" s="39">
        <v>1</v>
      </c>
      <c r="D7" s="365">
        <f>$B$3*$C$7</f>
        <v>5</v>
      </c>
      <c r="E7" s="360"/>
      <c r="F7" s="65">
        <f>$D$7*2</f>
        <v>10</v>
      </c>
    </row>
    <row r="8" spans="1:6" s="25" customFormat="1" ht="21" customHeight="1" x14ac:dyDescent="0.2">
      <c r="A8" s="28"/>
      <c r="B8" s="34" t="s">
        <v>62</v>
      </c>
      <c r="C8" s="33">
        <v>50</v>
      </c>
      <c r="D8" s="359">
        <f t="shared" ref="D8:D22" si="0">$B$3*C8</f>
        <v>250</v>
      </c>
      <c r="E8" s="360"/>
      <c r="F8" s="35"/>
    </row>
    <row r="9" spans="1:6" s="25" customFormat="1" ht="21" customHeight="1" x14ac:dyDescent="0.2">
      <c r="A9" s="28"/>
      <c r="B9" s="34" t="s">
        <v>153</v>
      </c>
      <c r="C9" s="33">
        <v>0.25</v>
      </c>
      <c r="D9" s="359">
        <f t="shared" si="0"/>
        <v>1.25</v>
      </c>
      <c r="E9" s="360"/>
      <c r="F9" s="38">
        <f>D9/2*5</f>
        <v>3.125</v>
      </c>
    </row>
    <row r="10" spans="1:6" s="25" customFormat="1" ht="21" customHeight="1" x14ac:dyDescent="0.2">
      <c r="A10" s="28"/>
      <c r="B10" s="34" t="s">
        <v>93</v>
      </c>
      <c r="C10" s="33">
        <v>0.15</v>
      </c>
      <c r="D10" s="359">
        <f t="shared" si="0"/>
        <v>0.75</v>
      </c>
      <c r="E10" s="360"/>
      <c r="F10" s="38">
        <f>D10/2*5</f>
        <v>1.875</v>
      </c>
    </row>
    <row r="11" spans="1:6" s="25" customFormat="1" ht="21" customHeight="1" x14ac:dyDescent="0.2">
      <c r="A11" s="28"/>
      <c r="B11" s="34" t="s">
        <v>98</v>
      </c>
      <c r="C11" s="37">
        <v>0.1</v>
      </c>
      <c r="D11" s="359">
        <f t="shared" si="0"/>
        <v>0.5</v>
      </c>
      <c r="E11" s="360"/>
      <c r="F11" s="83">
        <f>2/D11</f>
        <v>4</v>
      </c>
    </row>
    <row r="12" spans="1:6" s="25" customFormat="1" ht="21" customHeight="1" x14ac:dyDescent="0.2">
      <c r="A12" s="28"/>
      <c r="B12" s="34" t="s">
        <v>124</v>
      </c>
      <c r="C12" s="118">
        <v>20</v>
      </c>
      <c r="D12" s="359"/>
      <c r="E12" s="360"/>
      <c r="F12" s="119">
        <f>$B$3*20</f>
        <v>100</v>
      </c>
    </row>
    <row r="13" spans="1:6" s="25" customFormat="1" ht="21" customHeight="1" x14ac:dyDescent="0.2">
      <c r="A13" s="28"/>
      <c r="B13" s="34" t="s">
        <v>123</v>
      </c>
      <c r="C13" s="33" t="s">
        <v>122</v>
      </c>
      <c r="D13" s="208">
        <f>$F$13/$B$3*24</f>
        <v>96</v>
      </c>
      <c r="E13" s="121">
        <f>$F$13/$B$3</f>
        <v>4</v>
      </c>
      <c r="F13" s="117">
        <f>IF($B$3&lt;10,$B$3*4,IF($B$3&lt;20,40+2*($B$3-10),60+($B$3-20)))</f>
        <v>20</v>
      </c>
    </row>
    <row r="14" spans="1:6" s="25" customFormat="1" ht="21" customHeight="1" x14ac:dyDescent="0.2">
      <c r="A14" s="28"/>
      <c r="B14" s="34" t="s">
        <v>136</v>
      </c>
      <c r="C14" s="120">
        <v>4</v>
      </c>
      <c r="D14" s="368">
        <f>$C$14*$B$3*$D$3</f>
        <v>0</v>
      </c>
      <c r="E14" s="369"/>
      <c r="F14" s="235">
        <f>$D$14/16</f>
        <v>0</v>
      </c>
    </row>
    <row r="15" spans="1:6" s="25" customFormat="1" ht="21" customHeight="1" x14ac:dyDescent="0.2">
      <c r="A15" s="28"/>
      <c r="B15" s="34" t="s">
        <v>137</v>
      </c>
      <c r="C15" s="234">
        <f>$F$3*10</f>
        <v>50</v>
      </c>
      <c r="D15" s="370">
        <f>IF($B$3&lt;=50,$B$3*$F$3*10,500*$F$3)</f>
        <v>250</v>
      </c>
      <c r="E15" s="369"/>
      <c r="F15" s="236">
        <f>$D$15/48</f>
        <v>5.208333333333333</v>
      </c>
    </row>
    <row r="16" spans="1:6" s="25" customFormat="1" ht="21" customHeight="1" x14ac:dyDescent="0.2">
      <c r="A16" s="28"/>
      <c r="B16" s="34" t="s">
        <v>94</v>
      </c>
      <c r="C16" s="33">
        <v>1</v>
      </c>
      <c r="D16" s="359">
        <f t="shared" si="0"/>
        <v>5</v>
      </c>
      <c r="E16" s="360"/>
      <c r="F16" s="36"/>
    </row>
    <row r="17" spans="1:6" s="25" customFormat="1" ht="21" customHeight="1" x14ac:dyDescent="0.2">
      <c r="A17" s="28"/>
      <c r="B17" s="34" t="s">
        <v>138</v>
      </c>
      <c r="C17" s="33">
        <v>0.5</v>
      </c>
      <c r="D17" s="359">
        <f>IF($B$3&lt;30,$B$3*$C$17,15)</f>
        <v>2.5</v>
      </c>
      <c r="E17" s="360"/>
      <c r="F17" s="35"/>
    </row>
    <row r="18" spans="1:6" s="25" customFormat="1" ht="21" customHeight="1" x14ac:dyDescent="0.2">
      <c r="A18" s="28"/>
      <c r="B18" s="34" t="s">
        <v>119</v>
      </c>
      <c r="C18" s="33">
        <v>0.1</v>
      </c>
      <c r="D18" s="359">
        <f>$B$3*C18</f>
        <v>0.5</v>
      </c>
      <c r="E18" s="360"/>
      <c r="F18" s="35"/>
    </row>
    <row r="19" spans="1:6" s="25" customFormat="1" ht="21" customHeight="1" x14ac:dyDescent="0.2">
      <c r="A19" s="28"/>
      <c r="B19" s="34" t="s">
        <v>118</v>
      </c>
      <c r="C19" s="33">
        <v>0.1</v>
      </c>
      <c r="D19" s="359">
        <f t="shared" si="0"/>
        <v>0.5</v>
      </c>
      <c r="E19" s="360"/>
      <c r="F19" s="35"/>
    </row>
    <row r="20" spans="1:6" s="25" customFormat="1" ht="21" customHeight="1" x14ac:dyDescent="0.2">
      <c r="A20" s="28"/>
      <c r="B20" s="34" t="s">
        <v>95</v>
      </c>
      <c r="C20" s="33">
        <v>0.1</v>
      </c>
      <c r="D20" s="359">
        <f t="shared" si="0"/>
        <v>0.5</v>
      </c>
      <c r="E20" s="360"/>
      <c r="F20" s="32">
        <f>D20/2</f>
        <v>0.25</v>
      </c>
    </row>
    <row r="21" spans="1:6" s="25" customFormat="1" ht="21" customHeight="1" x14ac:dyDescent="0.2">
      <c r="A21" s="28"/>
      <c r="B21" s="31" t="s">
        <v>96</v>
      </c>
      <c r="C21" s="30">
        <v>0.3</v>
      </c>
      <c r="D21" s="359">
        <f t="shared" si="0"/>
        <v>1.5</v>
      </c>
      <c r="E21" s="360"/>
      <c r="F21" s="29">
        <f>D21/2</f>
        <v>0.75</v>
      </c>
    </row>
    <row r="22" spans="1:6" s="25" customFormat="1" ht="21" customHeight="1" thickBot="1" x14ac:dyDescent="0.25">
      <c r="A22" s="28"/>
      <c r="B22" s="27" t="s">
        <v>97</v>
      </c>
      <c r="C22" s="26">
        <v>1</v>
      </c>
      <c r="D22" s="366">
        <f t="shared" si="0"/>
        <v>5</v>
      </c>
      <c r="E22" s="367"/>
      <c r="F22" s="64">
        <f>D22/10</f>
        <v>0.5</v>
      </c>
    </row>
    <row r="23" spans="1:6" ht="13.5" thickTop="1" x14ac:dyDescent="0.15"/>
  </sheetData>
  <sheetProtection algorithmName="SHA-512" hashValue="s+7MgrKxeSvEqrHaDGQ3mJb7XRwZ6CqhklyZNuHmZGab5Mwsr4WnP9N2nhFXzzIj7gfa3+LKYPn1VESeMAgLMA==" saltValue="tkhZnRbEM1oych4xjSyMTw==" spinCount="100000" sheet="1" objects="1" scenarios="1"/>
  <mergeCells count="18">
    <mergeCell ref="D22:E22"/>
    <mergeCell ref="D11:E11"/>
    <mergeCell ref="D12:E12"/>
    <mergeCell ref="D14:E14"/>
    <mergeCell ref="D15:E15"/>
    <mergeCell ref="D16:E16"/>
    <mergeCell ref="D17:E17"/>
    <mergeCell ref="D21:E21"/>
    <mergeCell ref="D3:E3"/>
    <mergeCell ref="D10:E10"/>
    <mergeCell ref="D18:E18"/>
    <mergeCell ref="D19:E19"/>
    <mergeCell ref="D20:E20"/>
    <mergeCell ref="D5:E5"/>
    <mergeCell ref="D6:E6"/>
    <mergeCell ref="D7:E7"/>
    <mergeCell ref="D8:E8"/>
    <mergeCell ref="D9:E9"/>
  </mergeCells>
  <phoneticPr fontId="0" type="noConversion"/>
  <printOptions horizontalCentered="1"/>
  <pageMargins left="0.27559055118110237" right="0.62992125984251968" top="0.39370078740157483" bottom="0.98425196850393704" header="0.51181102362204722" footer="0.39370078740157483"/>
  <pageSetup orientation="landscape" horizontalDpi="300" verticalDpi="300" r:id="rId1"/>
  <headerFooter alignWithMargins="0">
    <oddFooter>&amp;C&amp;8Richard Pearson   &amp;D   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5CA7-49EA-41D0-AD05-6DED58AF2428}">
  <dimension ref="A1:F8"/>
  <sheetViews>
    <sheetView windowProtection="1" showGridLines="0" showRowColHeaders="0" workbookViewId="0"/>
  </sheetViews>
  <sheetFormatPr defaultColWidth="8.91796875" defaultRowHeight="12.75" x14ac:dyDescent="0.15"/>
  <cols>
    <col min="1" max="1" width="2.80078125" style="24" customWidth="1"/>
    <col min="2" max="2" width="20.328125" style="24" customWidth="1"/>
    <col min="3" max="3" width="17.01171875" style="24" customWidth="1"/>
    <col min="4" max="4" width="17.11328125" style="24" customWidth="1"/>
    <col min="5" max="5" width="17.73828125" style="24" customWidth="1"/>
    <col min="6" max="6" width="21.98828125" style="24" customWidth="1"/>
    <col min="7" max="7" width="29.45703125" style="24" customWidth="1"/>
    <col min="8" max="16384" width="8.91796875" style="24"/>
  </cols>
  <sheetData>
    <row r="1" spans="1:6" ht="9.9499999999999993" customHeight="1" x14ac:dyDescent="0.15"/>
    <row r="2" spans="1:6" s="94" customFormat="1" ht="39" customHeight="1" thickBot="1" x14ac:dyDescent="0.25">
      <c r="C2" s="95" t="s">
        <v>159</v>
      </c>
    </row>
    <row r="3" spans="1:6" s="25" customFormat="1" ht="26.25" customHeight="1" thickTop="1" thickBot="1" x14ac:dyDescent="0.25">
      <c r="A3" s="28"/>
      <c r="B3" s="313" t="s">
        <v>18</v>
      </c>
      <c r="C3" s="312" t="s">
        <v>161</v>
      </c>
      <c r="D3" s="307" t="s">
        <v>154</v>
      </c>
      <c r="E3" s="308" t="s">
        <v>155</v>
      </c>
      <c r="F3" s="309" t="s">
        <v>160</v>
      </c>
    </row>
    <row r="4" spans="1:6" s="25" customFormat="1" ht="26.25" customHeight="1" thickTop="1" x14ac:dyDescent="0.2">
      <c r="A4" s="28"/>
      <c r="B4" s="314" t="s">
        <v>111</v>
      </c>
      <c r="C4" s="315">
        <v>150</v>
      </c>
      <c r="D4" s="316">
        <v>250</v>
      </c>
      <c r="E4" s="317">
        <v>25</v>
      </c>
      <c r="F4" s="318">
        <v>400</v>
      </c>
    </row>
    <row r="5" spans="1:6" s="25" customFormat="1" ht="26.25" customHeight="1" x14ac:dyDescent="0.2">
      <c r="A5" s="28"/>
      <c r="B5" s="319" t="s">
        <v>156</v>
      </c>
      <c r="C5" s="320">
        <v>150</v>
      </c>
      <c r="D5" s="321">
        <v>2.5</v>
      </c>
      <c r="E5" s="322">
        <v>50</v>
      </c>
      <c r="F5" s="323">
        <v>400</v>
      </c>
    </row>
    <row r="6" spans="1:6" s="25" customFormat="1" ht="26.25" customHeight="1" x14ac:dyDescent="0.2">
      <c r="A6" s="28"/>
      <c r="B6" s="319" t="s">
        <v>157</v>
      </c>
      <c r="C6" s="320">
        <v>300</v>
      </c>
      <c r="D6" s="321">
        <v>5</v>
      </c>
      <c r="E6" s="322">
        <v>100</v>
      </c>
      <c r="F6" s="324">
        <v>5</v>
      </c>
    </row>
    <row r="7" spans="1:6" s="25" customFormat="1" ht="26.25" customHeight="1" thickBot="1" x14ac:dyDescent="0.25">
      <c r="A7" s="28"/>
      <c r="B7" s="325" t="s">
        <v>158</v>
      </c>
      <c r="C7" s="326">
        <v>500</v>
      </c>
      <c r="D7" s="327">
        <v>10</v>
      </c>
      <c r="E7" s="328">
        <v>200</v>
      </c>
      <c r="F7" s="329">
        <v>5</v>
      </c>
    </row>
    <row r="8" spans="1:6" ht="13.5" thickTop="1" x14ac:dyDescent="0.15"/>
  </sheetData>
  <sheetProtection algorithmName="SHA-512" hashValue="975RSEhRCFtKFYFQSX7urRuxUT7JTISIrAXW14+Crg09dqBbHteVGVjwGDR2w4BaFDQgteQjRkCZU0PmCsQQOg==" saltValue="98nBUC272CJ0lyuFmmiRMQ==" spinCount="100000" sheet="1" objects="1" scenarios="1"/>
  <printOptions horizontalCentered="1"/>
  <pageMargins left="0.27559055118110237" right="0.62992125984251968" top="0.39370078740157483" bottom="0.98425196850393704" header="0.51181102362204722" footer="0.39370078740157483"/>
  <pageSetup orientation="landscape" horizontalDpi="300" verticalDpi="300" r:id="rId1"/>
  <headerFooter alignWithMargins="0">
    <oddFooter>&amp;C&amp;8Richard Pearson   &amp;D   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16"/>
  <sheetViews>
    <sheetView windowProtection="1" showGridLines="0" showRowColHeaders="0" zoomScaleNormal="75" workbookViewId="0">
      <selection activeCell="B3" sqref="B3"/>
    </sheetView>
  </sheetViews>
  <sheetFormatPr defaultColWidth="8.91796875" defaultRowHeight="12.75" x14ac:dyDescent="0.15"/>
  <cols>
    <col min="1" max="1" width="4.66796875" style="24" customWidth="1"/>
    <col min="2" max="2" width="8.40234375" style="24" customWidth="1"/>
    <col min="3" max="3" width="8.91796875" style="24"/>
    <col min="4" max="4" width="14.2109375" style="24" customWidth="1"/>
    <col min="5" max="5" width="15.3515625" style="24" customWidth="1"/>
    <col min="6" max="6" width="16.69921875" style="24" customWidth="1"/>
    <col min="7" max="7" width="15.97265625" style="24" customWidth="1"/>
    <col min="8" max="8" width="15.66015625" style="24" customWidth="1"/>
    <col min="9" max="16384" width="8.91796875" style="24"/>
  </cols>
  <sheetData>
    <row r="1" spans="2:8" ht="9.9499999999999993" customHeight="1" x14ac:dyDescent="0.15"/>
    <row r="2" spans="2:8" ht="48" customHeight="1" thickBot="1" x14ac:dyDescent="0.2">
      <c r="B2" s="25"/>
      <c r="C2" s="25"/>
      <c r="D2" s="180" t="s">
        <v>83</v>
      </c>
      <c r="F2" s="25"/>
      <c r="G2" s="25"/>
      <c r="H2" s="25"/>
    </row>
    <row r="3" spans="2:8" ht="33" customHeight="1" thickBot="1" x14ac:dyDescent="0.2">
      <c r="B3" s="42" t="s">
        <v>18</v>
      </c>
      <c r="C3" s="101" t="s">
        <v>14</v>
      </c>
      <c r="D3" s="44" t="s">
        <v>81</v>
      </c>
      <c r="E3" s="102" t="s">
        <v>80</v>
      </c>
      <c r="F3" s="103" t="s">
        <v>79</v>
      </c>
      <c r="G3" s="104" t="s">
        <v>78</v>
      </c>
      <c r="H3" s="42" t="s">
        <v>77</v>
      </c>
    </row>
    <row r="4" spans="2:8" ht="22.5" customHeight="1" thickBot="1" x14ac:dyDescent="0.2">
      <c r="B4" s="45"/>
      <c r="C4" s="228"/>
      <c r="D4" s="216" t="s">
        <v>76</v>
      </c>
      <c r="E4" s="217" t="s">
        <v>75</v>
      </c>
      <c r="F4" s="218" t="s">
        <v>74</v>
      </c>
      <c r="G4" s="212" t="s">
        <v>135</v>
      </c>
      <c r="H4" s="122" t="s">
        <v>73</v>
      </c>
    </row>
    <row r="5" spans="2:8" ht="24.75" customHeight="1" x14ac:dyDescent="0.15">
      <c r="B5" s="165">
        <v>1</v>
      </c>
      <c r="C5" s="229">
        <f>($B5*2)+8</f>
        <v>10</v>
      </c>
      <c r="D5" s="225">
        <f>$C5*0.5</f>
        <v>5</v>
      </c>
      <c r="E5" s="219">
        <f>$C5*0.1</f>
        <v>1</v>
      </c>
      <c r="F5" s="222">
        <f t="shared" ref="F5:F10" si="0">$C5*0.4</f>
        <v>4</v>
      </c>
      <c r="G5" s="213">
        <f>$C5*20</f>
        <v>200</v>
      </c>
      <c r="H5" s="209">
        <f>$C5*4</f>
        <v>40</v>
      </c>
    </row>
    <row r="6" spans="2:8" ht="24.75" customHeight="1" x14ac:dyDescent="0.15">
      <c r="B6" s="166">
        <v>2</v>
      </c>
      <c r="C6" s="230">
        <f>($B6*2)+8</f>
        <v>12</v>
      </c>
      <c r="D6" s="226">
        <f>$C6*0.5</f>
        <v>6</v>
      </c>
      <c r="E6" s="220">
        <f t="shared" ref="E6:E15" si="1">$C6*0.1</f>
        <v>1.2000000000000002</v>
      </c>
      <c r="F6" s="223">
        <f t="shared" si="0"/>
        <v>4.8000000000000007</v>
      </c>
      <c r="G6" s="214">
        <f t="shared" ref="G6:G16" si="2">$C6*20</f>
        <v>240</v>
      </c>
      <c r="H6" s="210">
        <f t="shared" ref="H6:H16" si="3">$C6*4</f>
        <v>48</v>
      </c>
    </row>
    <row r="7" spans="2:8" ht="24.75" customHeight="1" x14ac:dyDescent="0.15">
      <c r="B7" s="166">
        <v>3</v>
      </c>
      <c r="C7" s="230">
        <f>($B7*2)+8</f>
        <v>14</v>
      </c>
      <c r="D7" s="226">
        <f>$C7*0.5</f>
        <v>7</v>
      </c>
      <c r="E7" s="220">
        <f t="shared" si="1"/>
        <v>1.4000000000000001</v>
      </c>
      <c r="F7" s="223">
        <f t="shared" si="0"/>
        <v>5.6000000000000005</v>
      </c>
      <c r="G7" s="214">
        <f t="shared" si="2"/>
        <v>280</v>
      </c>
      <c r="H7" s="210">
        <f t="shared" si="3"/>
        <v>56</v>
      </c>
    </row>
    <row r="8" spans="2:8" ht="24.75" customHeight="1" x14ac:dyDescent="0.15">
      <c r="B8" s="166">
        <v>4</v>
      </c>
      <c r="C8" s="230">
        <f>($B8*2)+8</f>
        <v>16</v>
      </c>
      <c r="D8" s="226">
        <f>$C8*0.5</f>
        <v>8</v>
      </c>
      <c r="E8" s="220">
        <f t="shared" si="1"/>
        <v>1.6</v>
      </c>
      <c r="F8" s="223">
        <f t="shared" si="0"/>
        <v>6.4</v>
      </c>
      <c r="G8" s="214">
        <f t="shared" si="2"/>
        <v>320</v>
      </c>
      <c r="H8" s="210">
        <f t="shared" si="3"/>
        <v>64</v>
      </c>
    </row>
    <row r="9" spans="2:8" ht="24.75" customHeight="1" x14ac:dyDescent="0.15">
      <c r="B9" s="166">
        <v>5</v>
      </c>
      <c r="C9" s="230">
        <f>($B9*2)+8</f>
        <v>18</v>
      </c>
      <c r="D9" s="226">
        <f>$C9*0.5</f>
        <v>9</v>
      </c>
      <c r="E9" s="220">
        <f t="shared" si="1"/>
        <v>1.8</v>
      </c>
      <c r="F9" s="223">
        <f t="shared" si="0"/>
        <v>7.2</v>
      </c>
      <c r="G9" s="214">
        <f t="shared" si="2"/>
        <v>360</v>
      </c>
      <c r="H9" s="210">
        <f t="shared" si="3"/>
        <v>72</v>
      </c>
    </row>
    <row r="10" spans="2:8" ht="24.75" customHeight="1" x14ac:dyDescent="0.15">
      <c r="B10" s="166">
        <v>6</v>
      </c>
      <c r="C10" s="230">
        <f t="shared" ref="C10:C16" si="4">($B10*3)+7</f>
        <v>25</v>
      </c>
      <c r="D10" s="226">
        <v>10</v>
      </c>
      <c r="E10" s="220">
        <f t="shared" si="1"/>
        <v>2.5</v>
      </c>
      <c r="F10" s="223">
        <f t="shared" si="0"/>
        <v>10</v>
      </c>
      <c r="G10" s="214">
        <f t="shared" si="2"/>
        <v>500</v>
      </c>
      <c r="H10" s="210">
        <f t="shared" si="3"/>
        <v>100</v>
      </c>
    </row>
    <row r="11" spans="2:8" ht="24.75" customHeight="1" x14ac:dyDescent="0.15">
      <c r="B11" s="166">
        <v>7</v>
      </c>
      <c r="C11" s="230">
        <f t="shared" si="4"/>
        <v>28</v>
      </c>
      <c r="D11" s="226">
        <v>10</v>
      </c>
      <c r="E11" s="220">
        <f t="shared" si="1"/>
        <v>2.8000000000000003</v>
      </c>
      <c r="F11" s="223">
        <v>10</v>
      </c>
      <c r="G11" s="214">
        <f t="shared" si="2"/>
        <v>560</v>
      </c>
      <c r="H11" s="210">
        <f t="shared" si="3"/>
        <v>112</v>
      </c>
    </row>
    <row r="12" spans="2:8" ht="24.75" customHeight="1" x14ac:dyDescent="0.15">
      <c r="B12" s="166">
        <v>8</v>
      </c>
      <c r="C12" s="230">
        <f t="shared" si="4"/>
        <v>31</v>
      </c>
      <c r="D12" s="226">
        <v>10</v>
      </c>
      <c r="E12" s="220">
        <f t="shared" si="1"/>
        <v>3.1</v>
      </c>
      <c r="F12" s="223">
        <v>10</v>
      </c>
      <c r="G12" s="214">
        <f t="shared" si="2"/>
        <v>620</v>
      </c>
      <c r="H12" s="210">
        <f t="shared" si="3"/>
        <v>124</v>
      </c>
    </row>
    <row r="13" spans="2:8" ht="24.75" customHeight="1" x14ac:dyDescent="0.15">
      <c r="B13" s="166">
        <v>9</v>
      </c>
      <c r="C13" s="230">
        <f t="shared" si="4"/>
        <v>34</v>
      </c>
      <c r="D13" s="226">
        <v>10</v>
      </c>
      <c r="E13" s="220">
        <f t="shared" si="1"/>
        <v>3.4000000000000004</v>
      </c>
      <c r="F13" s="223">
        <v>10</v>
      </c>
      <c r="G13" s="214">
        <f t="shared" si="2"/>
        <v>680</v>
      </c>
      <c r="H13" s="210">
        <f t="shared" si="3"/>
        <v>136</v>
      </c>
    </row>
    <row r="14" spans="2:8" ht="24.75" customHeight="1" x14ac:dyDescent="0.15">
      <c r="B14" s="166">
        <v>10</v>
      </c>
      <c r="C14" s="230">
        <f t="shared" si="4"/>
        <v>37</v>
      </c>
      <c r="D14" s="226">
        <v>10</v>
      </c>
      <c r="E14" s="220">
        <f t="shared" si="1"/>
        <v>3.7</v>
      </c>
      <c r="F14" s="223">
        <v>10</v>
      </c>
      <c r="G14" s="214">
        <f t="shared" si="2"/>
        <v>740</v>
      </c>
      <c r="H14" s="210">
        <f t="shared" si="3"/>
        <v>148</v>
      </c>
    </row>
    <row r="15" spans="2:8" ht="24.75" customHeight="1" x14ac:dyDescent="0.15">
      <c r="B15" s="166">
        <v>11</v>
      </c>
      <c r="C15" s="230">
        <f t="shared" si="4"/>
        <v>40</v>
      </c>
      <c r="D15" s="226">
        <v>10</v>
      </c>
      <c r="E15" s="220">
        <f t="shared" si="1"/>
        <v>4</v>
      </c>
      <c r="F15" s="223">
        <v>10</v>
      </c>
      <c r="G15" s="214">
        <f t="shared" si="2"/>
        <v>800</v>
      </c>
      <c r="H15" s="210">
        <f t="shared" si="3"/>
        <v>160</v>
      </c>
    </row>
    <row r="16" spans="2:8" ht="24.75" customHeight="1" thickBot="1" x14ac:dyDescent="0.2">
      <c r="B16" s="167">
        <v>12</v>
      </c>
      <c r="C16" s="231">
        <f t="shared" si="4"/>
        <v>43</v>
      </c>
      <c r="D16" s="227">
        <v>10</v>
      </c>
      <c r="E16" s="221">
        <v>4</v>
      </c>
      <c r="F16" s="224">
        <v>10</v>
      </c>
      <c r="G16" s="215">
        <f t="shared" si="2"/>
        <v>860</v>
      </c>
      <c r="H16" s="211">
        <f t="shared" si="3"/>
        <v>172</v>
      </c>
    </row>
  </sheetData>
  <sheetProtection password="8DD1" sheet="1"/>
  <phoneticPr fontId="0" type="noConversion"/>
  <pageMargins left="0.74803149606299213" right="0.82677165354330717" top="0.47244094488188981" bottom="0.98425196850393704" header="0.43307086614173229" footer="0.51181102362204722"/>
  <pageSetup paperSize="9" orientation="landscape" horizontalDpi="300" verticalDpi="300" r:id="rId1"/>
  <headerFooter alignWithMargins="0">
    <oddFooter>&amp;C&amp;8Richard Pearson   &amp;D  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Parvolex</vt:lpstr>
      <vt:lpstr>Parvolex SNAP</vt:lpstr>
      <vt:lpstr>Adrenalin</vt:lpstr>
      <vt:lpstr>Dobutamine</vt:lpstr>
      <vt:lpstr>Salbutamol</vt:lpstr>
      <vt:lpstr>APLS</vt:lpstr>
      <vt:lpstr>Paed Stat Doses</vt:lpstr>
      <vt:lpstr>Anaphylaxis</vt:lpstr>
      <vt:lpstr>Paed Convulsion Drugs</vt:lpstr>
      <vt:lpstr>Paed vitals</vt:lpstr>
      <vt:lpstr>Intranasal</vt:lpstr>
      <vt:lpstr>LA</vt:lpstr>
      <vt:lpstr>Calculator</vt:lpstr>
      <vt:lpstr>Pred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Drug Calculator</dc:title>
  <dc:creator>Richard Pearson</dc:creator>
  <cp:lastModifiedBy>PEARSON, Richard (THE SHREWSBURY AND TELFORD HOSPITAL </cp:lastModifiedBy>
  <cp:lastPrinted>2022-08-26T11:46:28Z</cp:lastPrinted>
  <dcterms:created xsi:type="dcterms:W3CDTF">2005-11-02T12:10:08Z</dcterms:created>
  <dcterms:modified xsi:type="dcterms:W3CDTF">2022-08-26T11:46:38Z</dcterms:modified>
</cp:coreProperties>
</file>