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65e32e27fdb8f5bd/dickyricky/Medicine/Charts/"/>
    </mc:Choice>
  </mc:AlternateContent>
  <xr:revisionPtr revIDLastSave="42" documentId="8_{94A92ECD-B83A-47D7-827D-95E2C60E711E}" xr6:coauthVersionLast="47" xr6:coauthVersionMax="47" xr10:uidLastSave="{1BCC4FCB-16B8-4FFF-A59A-C8F3962D7501}"/>
  <bookViews>
    <workbookView showHorizontalScroll="0" showVerticalScroll="0" xWindow="-93" yWindow="-93" windowWidth="25786" windowHeight="16186" activeTab="10" xr2:uid="{00000000-000D-0000-FFFF-FFFF00000000}"/>
  </bookViews>
  <sheets>
    <sheet name="pH Chart" sheetId="11" r:id="rId1"/>
    <sheet name="ARDS" sheetId="12" r:id="rId2"/>
    <sheet name="Gestation" sheetId="9" r:id="rId3"/>
    <sheet name="Pneomothorax" sheetId="1" r:id="rId4"/>
    <sheet name="Angle" sheetId="4" r:id="rId5"/>
    <sheet name="BSA" sheetId="5" r:id="rId6"/>
    <sheet name="Sphere volume" sheetId="6" r:id="rId7"/>
    <sheet name="Half life" sheetId="7" r:id="rId8"/>
    <sheet name="ECG" sheetId="8" r:id="rId9"/>
    <sheet name="Biochem conversion" sheetId="14" r:id="rId10"/>
    <sheet name="PEFR" sheetId="10" r:id="rId11"/>
    <sheet name="BMI" sheetId="13" r:id="rId12"/>
    <sheet name="PPV" sheetId="16" r:id="rId13"/>
    <sheet name="Fluids" sheetId="17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0" l="1"/>
  <c r="B27" i="13"/>
  <c r="E8" i="14"/>
  <c r="E9" i="14"/>
  <c r="G27" i="12"/>
  <c r="J25" i="12"/>
  <c r="E11" i="16"/>
  <c r="C10" i="16"/>
  <c r="J4" i="16"/>
  <c r="K4" i="16"/>
  <c r="J3" i="16"/>
  <c r="I5" i="16"/>
  <c r="I6" i="16"/>
  <c r="H5" i="16"/>
  <c r="H6" i="16"/>
  <c r="K7" i="16"/>
  <c r="K8" i="16"/>
  <c r="J5" i="16"/>
  <c r="K3" i="16"/>
  <c r="K6" i="16"/>
  <c r="C7" i="16"/>
  <c r="C6" i="16"/>
  <c r="C11" i="16"/>
  <c r="F11" i="16"/>
  <c r="B11" i="16"/>
  <c r="C21" i="14"/>
  <c r="C20" i="14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3" i="12"/>
  <c r="C13" i="8"/>
  <c r="G11" i="16"/>
  <c r="E10" i="16"/>
  <c r="F10" i="16"/>
  <c r="G10" i="16"/>
  <c r="H25" i="12"/>
  <c r="E15" i="14"/>
  <c r="E14" i="14"/>
  <c r="E13" i="14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3" i="12"/>
  <c r="G25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3" i="12"/>
  <c r="G30" i="11"/>
  <c r="E30" i="11"/>
  <c r="G28" i="11"/>
  <c r="E28" i="11"/>
  <c r="E10" i="14"/>
  <c r="E4" i="14"/>
  <c r="E5" i="14"/>
  <c r="E6" i="14"/>
  <c r="E3" i="14"/>
  <c r="E11" i="14"/>
  <c r="C3" i="6"/>
  <c r="C4" i="6"/>
  <c r="B6" i="13"/>
  <c r="C6" i="13"/>
  <c r="B7" i="13"/>
  <c r="U7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18" i="10"/>
  <c r="C17" i="10"/>
  <c r="C16" i="10"/>
  <c r="C15" i="10"/>
  <c r="C14" i="10"/>
  <c r="C13" i="10"/>
  <c r="C12" i="10"/>
  <c r="C11" i="10"/>
  <c r="C10" i="10"/>
  <c r="C9" i="10"/>
  <c r="C8" i="10"/>
  <c r="C4" i="9"/>
  <c r="B3" i="9"/>
  <c r="C3" i="9" s="1"/>
  <c r="E8" i="8"/>
  <c r="D8" i="8"/>
  <c r="E7" i="8"/>
  <c r="D7" i="8"/>
  <c r="E6" i="8"/>
  <c r="D6" i="8"/>
  <c r="E5" i="8"/>
  <c r="D5" i="8"/>
  <c r="E4" i="8"/>
  <c r="D4" i="8"/>
  <c r="D3" i="8"/>
  <c r="E3" i="7"/>
  <c r="C4" i="5"/>
  <c r="E3" i="4"/>
  <c r="C5" i="1"/>
  <c r="T6" i="13"/>
  <c r="D6" i="13"/>
  <c r="L6" i="13"/>
  <c r="B8" i="13"/>
  <c r="R8" i="13"/>
  <c r="E7" i="13"/>
  <c r="W7" i="13"/>
  <c r="N7" i="13"/>
  <c r="V7" i="13"/>
  <c r="G7" i="13"/>
  <c r="C7" i="13"/>
  <c r="H7" i="13"/>
  <c r="N6" i="13"/>
  <c r="V6" i="13"/>
  <c r="Q6" i="13"/>
  <c r="G6" i="13"/>
  <c r="S6" i="13"/>
  <c r="I6" i="13"/>
  <c r="M6" i="13"/>
  <c r="E6" i="13"/>
  <c r="O6" i="13"/>
  <c r="F6" i="13"/>
  <c r="I8" i="13"/>
  <c r="Y7" i="13"/>
  <c r="X8" i="13"/>
  <c r="J8" i="13"/>
  <c r="Y8" i="13"/>
  <c r="M7" i="13"/>
  <c r="R7" i="13"/>
  <c r="D9" i="8"/>
  <c r="K8" i="13"/>
  <c r="Q8" i="13"/>
  <c r="E9" i="8"/>
  <c r="Q7" i="13"/>
  <c r="B9" i="13"/>
  <c r="L9" i="13"/>
  <c r="M8" i="13"/>
  <c r="W8" i="13"/>
  <c r="U8" i="13"/>
  <c r="E11" i="8"/>
  <c r="J9" i="13"/>
  <c r="K9" i="13"/>
  <c r="X9" i="13"/>
  <c r="Y9" i="13"/>
  <c r="P8" i="13"/>
  <c r="E8" i="13"/>
  <c r="X7" i="13"/>
  <c r="O8" i="13"/>
  <c r="S8" i="13"/>
  <c r="G8" i="13"/>
  <c r="J6" i="13"/>
  <c r="J7" i="13"/>
  <c r="Y6" i="13"/>
  <c r="H8" i="13"/>
  <c r="T7" i="13"/>
  <c r="S7" i="13"/>
  <c r="N8" i="13"/>
  <c r="X6" i="13"/>
  <c r="V8" i="13"/>
  <c r="P7" i="13"/>
  <c r="D8" i="13"/>
  <c r="L7" i="13"/>
  <c r="I7" i="13"/>
  <c r="P6" i="13"/>
  <c r="W6" i="13"/>
  <c r="F7" i="13"/>
  <c r="K6" i="13"/>
  <c r="D7" i="13"/>
  <c r="L8" i="13"/>
  <c r="K7" i="13"/>
  <c r="T8" i="13"/>
  <c r="O7" i="13"/>
  <c r="R6" i="13"/>
  <c r="H6" i="13"/>
  <c r="U6" i="13"/>
  <c r="G9" i="13"/>
  <c r="P9" i="13"/>
  <c r="I9" i="13"/>
  <c r="N9" i="13"/>
  <c r="C9" i="13"/>
  <c r="M9" i="13"/>
  <c r="B10" i="13"/>
  <c r="V9" i="13"/>
  <c r="H9" i="13"/>
  <c r="S9" i="13"/>
  <c r="F9" i="13"/>
  <c r="T9" i="13"/>
  <c r="R9" i="13"/>
  <c r="U9" i="13"/>
  <c r="O9" i="13"/>
  <c r="E9" i="13"/>
  <c r="W9" i="13"/>
  <c r="Q9" i="13"/>
  <c r="D9" i="13"/>
  <c r="F8" i="13"/>
  <c r="C8" i="13"/>
  <c r="H10" i="13"/>
  <c r="D10" i="13"/>
  <c r="P10" i="13"/>
  <c r="M10" i="13"/>
  <c r="C10" i="13"/>
  <c r="N10" i="13"/>
  <c r="O10" i="13"/>
  <c r="E10" i="13"/>
  <c r="Q10" i="13"/>
  <c r="W10" i="13"/>
  <c r="T10" i="13"/>
  <c r="V10" i="13"/>
  <c r="S10" i="13"/>
  <c r="U10" i="13"/>
  <c r="K10" i="13"/>
  <c r="J10" i="13"/>
  <c r="X10" i="13"/>
  <c r="Y10" i="13"/>
  <c r="G10" i="13"/>
  <c r="F10" i="13"/>
  <c r="I10" i="13"/>
  <c r="R10" i="13"/>
  <c r="B11" i="13"/>
  <c r="L10" i="13"/>
  <c r="C11" i="13"/>
  <c r="R11" i="13"/>
  <c r="D11" i="13"/>
  <c r="O11" i="13"/>
  <c r="P11" i="13"/>
  <c r="U11" i="13"/>
  <c r="I11" i="13"/>
  <c r="M11" i="13"/>
  <c r="Q11" i="13"/>
  <c r="T11" i="13"/>
  <c r="L11" i="13"/>
  <c r="K11" i="13"/>
  <c r="E11" i="13"/>
  <c r="S11" i="13"/>
  <c r="G11" i="13"/>
  <c r="J11" i="13"/>
  <c r="W11" i="13"/>
  <c r="X11" i="13"/>
  <c r="H11" i="13"/>
  <c r="Y11" i="13"/>
  <c r="N11" i="13"/>
  <c r="B12" i="13"/>
  <c r="F11" i="13"/>
  <c r="V11" i="13"/>
  <c r="V12" i="13"/>
  <c r="J12" i="13"/>
  <c r="U12" i="13"/>
  <c r="Q12" i="13"/>
  <c r="G12" i="13"/>
  <c r="D12" i="13"/>
  <c r="R12" i="13"/>
  <c r="B13" i="13"/>
  <c r="I12" i="13"/>
  <c r="E12" i="13"/>
  <c r="P12" i="13"/>
  <c r="W12" i="13"/>
  <c r="O12" i="13"/>
  <c r="M12" i="13"/>
  <c r="L12" i="13"/>
  <c r="N12" i="13"/>
  <c r="K12" i="13"/>
  <c r="H12" i="13"/>
  <c r="S12" i="13"/>
  <c r="F12" i="13"/>
  <c r="C12" i="13"/>
  <c r="T12" i="13"/>
  <c r="Y12" i="13"/>
  <c r="X12" i="13"/>
  <c r="X13" i="13"/>
  <c r="G13" i="13"/>
  <c r="W13" i="13"/>
  <c r="Y13" i="13"/>
  <c r="H13" i="13"/>
  <c r="M13" i="13"/>
  <c r="D13" i="13"/>
  <c r="U13" i="13"/>
  <c r="R13" i="13"/>
  <c r="O13" i="13"/>
  <c r="B14" i="13"/>
  <c r="F13" i="13"/>
  <c r="Q13" i="13"/>
  <c r="S13" i="13"/>
  <c r="C13" i="13"/>
  <c r="N13" i="13"/>
  <c r="V13" i="13"/>
  <c r="E13" i="13"/>
  <c r="T13" i="13"/>
  <c r="K13" i="13"/>
  <c r="L13" i="13"/>
  <c r="I13" i="13"/>
  <c r="J13" i="13"/>
  <c r="P13" i="13"/>
  <c r="H14" i="13"/>
  <c r="U14" i="13"/>
  <c r="I14" i="13"/>
  <c r="N14" i="13"/>
  <c r="M14" i="13"/>
  <c r="O14" i="13"/>
  <c r="J14" i="13"/>
  <c r="Q14" i="13"/>
  <c r="B15" i="13"/>
  <c r="S14" i="13"/>
  <c r="L14" i="13"/>
  <c r="P14" i="13"/>
  <c r="E14" i="13"/>
  <c r="D14" i="13"/>
  <c r="V14" i="13"/>
  <c r="W14" i="13"/>
  <c r="C14" i="13"/>
  <c r="T14" i="13"/>
  <c r="F14" i="13"/>
  <c r="G14" i="13"/>
  <c r="R14" i="13"/>
  <c r="K14" i="13"/>
  <c r="X14" i="13"/>
  <c r="Y14" i="13"/>
  <c r="C15" i="13"/>
  <c r="E15" i="13"/>
  <c r="B16" i="13"/>
  <c r="Q15" i="13"/>
  <c r="V15" i="13"/>
  <c r="J15" i="13"/>
  <c r="R15" i="13"/>
  <c r="O15" i="13"/>
  <c r="D15" i="13"/>
  <c r="F15" i="13"/>
  <c r="P15" i="13"/>
  <c r="I15" i="13"/>
  <c r="H15" i="13"/>
  <c r="U15" i="13"/>
  <c r="L15" i="13"/>
  <c r="Y15" i="13"/>
  <c r="T15" i="13"/>
  <c r="G15" i="13"/>
  <c r="S15" i="13"/>
  <c r="K15" i="13"/>
  <c r="M15" i="13"/>
  <c r="W15" i="13"/>
  <c r="X15" i="13"/>
  <c r="N15" i="13"/>
  <c r="O16" i="13"/>
  <c r="V16" i="13"/>
  <c r="R16" i="13"/>
  <c r="H16" i="13"/>
  <c r="L16" i="13"/>
  <c r="D16" i="13"/>
  <c r="Y16" i="13"/>
  <c r="Q16" i="13"/>
  <c r="S16" i="13"/>
  <c r="C16" i="13"/>
  <c r="F16" i="13"/>
  <c r="W16" i="13"/>
  <c r="M16" i="13"/>
  <c r="I16" i="13"/>
  <c r="U16" i="13"/>
  <c r="T16" i="13"/>
  <c r="G16" i="13"/>
  <c r="X16" i="13"/>
  <c r="E16" i="13"/>
  <c r="K16" i="13"/>
  <c r="B17" i="13"/>
  <c r="P16" i="13"/>
  <c r="N16" i="13"/>
  <c r="J16" i="13"/>
  <c r="X17" i="13"/>
  <c r="Y17" i="13"/>
  <c r="L17" i="13"/>
  <c r="B18" i="13"/>
  <c r="S17" i="13"/>
  <c r="W17" i="13"/>
  <c r="E17" i="13"/>
  <c r="J17" i="13"/>
  <c r="H17" i="13"/>
  <c r="Q17" i="13"/>
  <c r="D17" i="13"/>
  <c r="I17" i="13"/>
  <c r="P17" i="13"/>
  <c r="T17" i="13"/>
  <c r="F17" i="13"/>
  <c r="G17" i="13"/>
  <c r="N17" i="13"/>
  <c r="R17" i="13"/>
  <c r="O17" i="13"/>
  <c r="K17" i="13"/>
  <c r="U17" i="13"/>
  <c r="C17" i="13"/>
  <c r="M17" i="13"/>
  <c r="V17" i="13"/>
  <c r="G18" i="13"/>
  <c r="X18" i="13"/>
  <c r="E18" i="13"/>
  <c r="D18" i="13"/>
  <c r="U18" i="13"/>
  <c r="H18" i="13"/>
  <c r="K18" i="13"/>
  <c r="Q18" i="13"/>
  <c r="C18" i="13"/>
  <c r="Y18" i="13"/>
  <c r="M18" i="13"/>
  <c r="I18" i="13"/>
  <c r="P18" i="13"/>
  <c r="O18" i="13"/>
  <c r="L18" i="13"/>
  <c r="F18" i="13"/>
  <c r="J18" i="13"/>
  <c r="R18" i="13"/>
  <c r="S18" i="13"/>
  <c r="N18" i="13"/>
  <c r="T18" i="13"/>
  <c r="B19" i="13"/>
  <c r="W18" i="13"/>
  <c r="V18" i="13"/>
  <c r="K19" i="13"/>
  <c r="V19" i="13"/>
  <c r="E19" i="13"/>
  <c r="X19" i="13"/>
  <c r="O19" i="13"/>
  <c r="G19" i="13"/>
  <c r="F19" i="13"/>
  <c r="S19" i="13"/>
  <c r="Y19" i="13"/>
  <c r="T19" i="13"/>
  <c r="I19" i="13"/>
  <c r="N19" i="13"/>
  <c r="C19" i="13"/>
  <c r="H19" i="13"/>
  <c r="R19" i="13"/>
  <c r="J19" i="13"/>
  <c r="U19" i="13"/>
  <c r="W19" i="13"/>
  <c r="L19" i="13"/>
  <c r="B20" i="13"/>
  <c r="D19" i="13"/>
  <c r="Q19" i="13"/>
  <c r="M19" i="13"/>
  <c r="P19" i="13"/>
  <c r="J20" i="13"/>
  <c r="H20" i="13"/>
  <c r="P20" i="13"/>
  <c r="Y20" i="13"/>
  <c r="U20" i="13"/>
  <c r="X20" i="13"/>
  <c r="Q20" i="13"/>
  <c r="R20" i="13"/>
  <c r="W20" i="13"/>
  <c r="L20" i="13"/>
  <c r="S20" i="13"/>
  <c r="N20" i="13"/>
  <c r="D20" i="13"/>
  <c r="T20" i="13"/>
  <c r="I20" i="13"/>
  <c r="B21" i="13"/>
  <c r="G20" i="13"/>
  <c r="F20" i="13"/>
  <c r="M20" i="13"/>
  <c r="V20" i="13"/>
  <c r="K20" i="13"/>
  <c r="O20" i="13"/>
  <c r="C20" i="13"/>
  <c r="E20" i="13"/>
  <c r="H21" i="13"/>
  <c r="S21" i="13"/>
  <c r="D21" i="13"/>
  <c r="W21" i="13"/>
  <c r="Q21" i="13"/>
  <c r="F21" i="13"/>
  <c r="L21" i="13"/>
  <c r="R21" i="13"/>
  <c r="U21" i="13"/>
  <c r="G21" i="13"/>
  <c r="Y21" i="13"/>
  <c r="N21" i="13"/>
  <c r="M21" i="13"/>
  <c r="C21" i="13"/>
  <c r="O21" i="13"/>
  <c r="P21" i="13"/>
  <c r="I21" i="13"/>
  <c r="K21" i="13"/>
  <c r="E21" i="13"/>
  <c r="T21" i="13"/>
  <c r="B22" i="13"/>
  <c r="V21" i="13"/>
  <c r="J21" i="13"/>
  <c r="X21" i="13"/>
  <c r="Q22" i="13"/>
  <c r="E22" i="13"/>
  <c r="D22" i="13"/>
  <c r="B23" i="13"/>
  <c r="K22" i="13"/>
  <c r="F22" i="13"/>
  <c r="N22" i="13"/>
  <c r="V22" i="13"/>
  <c r="T22" i="13"/>
  <c r="U22" i="13"/>
  <c r="M22" i="13"/>
  <c r="R22" i="13"/>
  <c r="X22" i="13"/>
  <c r="H22" i="13"/>
  <c r="Y22" i="13"/>
  <c r="W22" i="13"/>
  <c r="I22" i="13"/>
  <c r="G22" i="13"/>
  <c r="J22" i="13"/>
  <c r="S22" i="13"/>
  <c r="C22" i="13"/>
  <c r="O22" i="13"/>
  <c r="L22" i="13"/>
  <c r="P22" i="13"/>
  <c r="U23" i="13"/>
  <c r="L23" i="13"/>
  <c r="S23" i="13"/>
  <c r="C23" i="13"/>
  <c r="V23" i="13"/>
  <c r="Y23" i="13"/>
  <c r="W23" i="13"/>
  <c r="E23" i="13"/>
  <c r="T23" i="13"/>
  <c r="H23" i="13"/>
  <c r="X23" i="13"/>
  <c r="D23" i="13"/>
  <c r="J23" i="13"/>
  <c r="F23" i="13"/>
  <c r="I23" i="13"/>
  <c r="M23" i="13"/>
  <c r="G23" i="13"/>
  <c r="R23" i="13"/>
  <c r="B24" i="13"/>
  <c r="K23" i="13"/>
  <c r="O23" i="13"/>
  <c r="N23" i="13"/>
  <c r="P23" i="13"/>
  <c r="Q23" i="13"/>
  <c r="P24" i="13"/>
  <c r="N24" i="13"/>
  <c r="X24" i="13"/>
  <c r="K24" i="13"/>
  <c r="I24" i="13"/>
  <c r="J24" i="13"/>
  <c r="L24" i="13"/>
  <c r="E24" i="13"/>
  <c r="D24" i="13"/>
  <c r="W24" i="13"/>
  <c r="G24" i="13"/>
  <c r="U24" i="13"/>
  <c r="T24" i="13"/>
  <c r="F24" i="13"/>
  <c r="V24" i="13"/>
  <c r="O24" i="13"/>
  <c r="S24" i="13"/>
  <c r="H24" i="13"/>
  <c r="Q24" i="13"/>
  <c r="Y24" i="13"/>
  <c r="R24" i="13"/>
  <c r="C24" i="13"/>
  <c r="M24" i="13"/>
</calcChain>
</file>

<file path=xl/sharedStrings.xml><?xml version="1.0" encoding="utf-8"?>
<sst xmlns="http://schemas.openxmlformats.org/spreadsheetml/2006/main" count="129" uniqueCount="118">
  <si>
    <t>B</t>
  </si>
  <si>
    <t>C</t>
  </si>
  <si>
    <t>A</t>
  </si>
  <si>
    <t>Angle</t>
  </si>
  <si>
    <t>Adjacient</t>
  </si>
  <si>
    <t>Opposite</t>
  </si>
  <si>
    <t>Height</t>
  </si>
  <si>
    <t>Weight</t>
  </si>
  <si>
    <t>Body Surface Area</t>
  </si>
  <si>
    <t>Radius</t>
  </si>
  <si>
    <t>Sphere Volume</t>
  </si>
  <si>
    <t>Time</t>
  </si>
  <si>
    <t>Initial Level</t>
  </si>
  <si>
    <t>Half Life</t>
  </si>
  <si>
    <t>End Level</t>
  </si>
  <si>
    <t>Lead</t>
  </si>
  <si>
    <t>x</t>
  </si>
  <si>
    <t>y</t>
  </si>
  <si>
    <t>I</t>
  </si>
  <si>
    <t>II</t>
  </si>
  <si>
    <t>III</t>
  </si>
  <si>
    <t>aVR</t>
  </si>
  <si>
    <t>aVL</t>
  </si>
  <si>
    <t>aVF</t>
  </si>
  <si>
    <t>LMP</t>
  </si>
  <si>
    <t>Expected Date of Delivery</t>
  </si>
  <si>
    <t>For Ages 5 - 18</t>
  </si>
  <si>
    <t>PEFR</t>
  </si>
  <si>
    <t>pH</t>
  </si>
  <si>
    <r>
      <t>FiO</t>
    </r>
    <r>
      <rPr>
        <vertAlign val="subscript"/>
        <sz val="12"/>
        <rFont val="Arial"/>
        <family val="2"/>
      </rPr>
      <t>2</t>
    </r>
  </si>
  <si>
    <t>Diameter</t>
  </si>
  <si>
    <t>Richard Pearson 2004</t>
  </si>
  <si>
    <t>Creatinine</t>
  </si>
  <si>
    <t>Bilirubin</t>
  </si>
  <si>
    <t>PaO2</t>
  </si>
  <si>
    <t>PaCO2</t>
  </si>
  <si>
    <t>PaO2/FiO2</t>
  </si>
  <si>
    <t>Glucose</t>
  </si>
  <si>
    <t>Blood urea nitrogen</t>
  </si>
  <si>
    <t>Phosphorus</t>
  </si>
  <si>
    <t>Magnesium</t>
  </si>
  <si>
    <t>Winter's formula</t>
  </si>
  <si>
    <r>
      <t>HCO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=</t>
    </r>
  </si>
  <si>
    <t>-</t>
  </si>
  <si>
    <r>
      <t>Expected pCO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</si>
  <si>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t>Richard Pearson 2015</t>
  </si>
  <si>
    <t>Molecular weight</t>
  </si>
  <si>
    <t>=</t>
  </si>
  <si>
    <r>
      <t>PaO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/FiO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≤ 40kPa (300 mmHg)</t>
    </r>
  </si>
  <si>
    <r>
      <t>PaO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</si>
  <si>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r>
      <t>FiO</t>
    </r>
    <r>
      <rPr>
        <vertAlign val="subscript"/>
        <sz val="10"/>
        <rFont val="Arial"/>
        <family val="2"/>
      </rPr>
      <t>2</t>
    </r>
  </si>
  <si>
    <r>
      <t>PaO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/FiO</t>
    </r>
    <r>
      <rPr>
        <vertAlign val="subscript"/>
        <sz val="10"/>
        <rFont val="Arial"/>
        <family val="2"/>
      </rPr>
      <t>2</t>
    </r>
  </si>
  <si>
    <r>
      <t xml:space="preserve">Collins et al. </t>
    </r>
    <r>
      <rPr>
        <i/>
        <sz val="9"/>
        <rFont val="Arial"/>
        <family val="2"/>
      </rPr>
      <t>Am J Roentgenol</t>
    </r>
    <r>
      <rPr>
        <sz val="9"/>
        <rFont val="Arial"/>
        <family val="2"/>
      </rPr>
      <t xml:space="preserve"> 1995;165:1127-30</t>
    </r>
  </si>
  <si>
    <r>
      <t>PaO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/FiO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≤ 26.7kPa (200 mmHg)</t>
    </r>
  </si>
  <si>
    <t>SOFA 1</t>
  </si>
  <si>
    <r>
      <t>PaO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/FiO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≤ 53.3kPa (400 mmHg)</t>
    </r>
  </si>
  <si>
    <t>Sensitivity</t>
  </si>
  <si>
    <t>Specificity</t>
  </si>
  <si>
    <t>PPV</t>
  </si>
  <si>
    <t>Prevalence</t>
  </si>
  <si>
    <t>NPV</t>
  </si>
  <si>
    <t>Pre Test</t>
  </si>
  <si>
    <t>Post Test</t>
  </si>
  <si>
    <t>Rate</t>
  </si>
  <si>
    <t>R deflection</t>
  </si>
  <si>
    <t>Axis</t>
  </si>
  <si>
    <t>QT</t>
  </si>
  <si>
    <t>QTc</t>
  </si>
  <si>
    <r>
      <t>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nmol/l</t>
    </r>
  </si>
  <si>
    <t>Mild ARDS</t>
  </si>
  <si>
    <t>Mod ARDS</t>
  </si>
  <si>
    <t>Severe ARDS</t>
  </si>
  <si>
    <t>ARDS mod</t>
  </si>
  <si>
    <t>ARDS mild</t>
  </si>
  <si>
    <r>
      <t>PaO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/FiO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≤ 13.4kPa (100 mmHg)</t>
    </r>
  </si>
  <si>
    <t>ARDS severe</t>
  </si>
  <si>
    <t>Sodium</t>
  </si>
  <si>
    <t>Corrected Sodium Katz (1973)</t>
  </si>
  <si>
    <t>Corrected Sodium Hillier (1999)</t>
  </si>
  <si>
    <t>For every 5.6mmol fall in glucose, sodium rises 1.6mEq</t>
  </si>
  <si>
    <t>For every 5.6mmol fall in glucose, sodium rises 2.4mEq</t>
  </si>
  <si>
    <t>Pseudohyponatraemia</t>
  </si>
  <si>
    <t>Odds</t>
  </si>
  <si>
    <t>Disease</t>
  </si>
  <si>
    <t>Negative</t>
  </si>
  <si>
    <t>Positive</t>
  </si>
  <si>
    <t>No Disease</t>
  </si>
  <si>
    <t>LR+</t>
  </si>
  <si>
    <t>LR-</t>
  </si>
  <si>
    <t>Prev</t>
  </si>
  <si>
    <t>Richard Pearson 2018</t>
  </si>
  <si>
    <r>
      <t>ROX index = (FiO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Arial"/>
        <family val="2"/>
      </rPr>
      <t>/SpO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Arial"/>
        <family val="2"/>
      </rPr>
      <t>)/RR</t>
    </r>
  </si>
  <si>
    <r>
      <t>SpO</t>
    </r>
    <r>
      <rPr>
        <vertAlign val="subscript"/>
        <sz val="11"/>
        <color theme="1"/>
        <rFont val="Calibri"/>
        <family val="2"/>
        <scheme val="minor"/>
      </rPr>
      <t>2</t>
    </r>
  </si>
  <si>
    <t>RR</t>
  </si>
  <si>
    <t>ROX</t>
  </si>
  <si>
    <r>
      <t>SpO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/FiO</t>
    </r>
    <r>
      <rPr>
        <vertAlign val="subscript"/>
        <sz val="10"/>
        <rFont val="Arial"/>
        <family val="2"/>
      </rPr>
      <t>2</t>
    </r>
  </si>
  <si>
    <t>www.dickyricky.com</t>
  </si>
  <si>
    <t>Richard Pearson 2020</t>
  </si>
  <si>
    <t>AG = Na+ + K+ - HCO3- - Cl-</t>
  </si>
  <si>
    <t>mOsm/l = 2 x [Na+ + K+] + glu(mmol/l) + urea (mmol/l)</t>
  </si>
  <si>
    <t>HCO3 / Lactate</t>
  </si>
  <si>
    <t>Saline 0.9%</t>
  </si>
  <si>
    <t>Saline 2.7%</t>
  </si>
  <si>
    <t>Hartmans</t>
  </si>
  <si>
    <t>Bicarb 8.4%</t>
  </si>
  <si>
    <t>Bicarb 4.2%</t>
  </si>
  <si>
    <t>Bicarb 1.26%</t>
  </si>
  <si>
    <t>mOsm/l</t>
  </si>
  <si>
    <t>Na mmol</t>
  </si>
  <si>
    <t>Cl mmol</t>
  </si>
  <si>
    <t>K mmol</t>
  </si>
  <si>
    <t>Ca mmol</t>
  </si>
  <si>
    <t>Maintelyte</t>
  </si>
  <si>
    <t>Mg mmol</t>
  </si>
  <si>
    <t>Calcium</t>
  </si>
  <si>
    <t>Lactate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</si>
  <si>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</si>
  <si>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PEFR = height x 5 - 400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</si>
</sst>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164" formatCode="0.0\ &quot;cm&quot;"/>
    <numFmt numFmtId="165" formatCode="0.0\ &quot;degrees&quot;"/>
    <numFmt numFmtId="166" formatCode="0\ &quot;cm&quot;"/>
    <numFmt numFmtId="167" formatCode="0\ &quot;kg&quot;"/>
    <numFmt numFmtId="168" formatCode="0.00\ &quot;sqm&quot;"/>
    <numFmt numFmtId="169" formatCode="&quot;Gestation (&quot;0&quot; days)&quot;"/>
    <numFmt numFmtId="170" formatCode="0\ &quot;h&quot;"/>
    <numFmt numFmtId="171" formatCode="0\ &quot;mm&quot;"/>
    <numFmt numFmtId="172" formatCode="0.0\ &quot;mm&quot;"/>
    <numFmt numFmtId="173" formatCode="0\ &quot;degrees&quot;"/>
    <numFmt numFmtId="174" formatCode="d/m/yy"/>
    <numFmt numFmtId="175" formatCode="0.00\ &quot;kPa&quot;"/>
    <numFmt numFmtId="176" formatCode="0&quot;kg&quot;"/>
    <numFmt numFmtId="177" formatCode="0.00\ &quot;m&quot;"/>
    <numFmt numFmtId="178" formatCode="0\ \k\g"/>
    <numFmt numFmtId="179" formatCode="0.0\ &quot;ml&quot;"/>
    <numFmt numFmtId="180" formatCode="0&quot; mg/dL&quot;"/>
    <numFmt numFmtId="181" formatCode="0.00&quot; mg/dL&quot;"/>
    <numFmt numFmtId="182" formatCode="0.0&quot; mmol/l&quot;"/>
    <numFmt numFmtId="183" formatCode="0.00&quot; kPa&quot;"/>
    <numFmt numFmtId="184" formatCode="0.0&quot; mmHg&quot;"/>
    <numFmt numFmtId="185" formatCode="0.0&quot; kPa&quot;"/>
    <numFmt numFmtId="186" formatCode="0.0"/>
    <numFmt numFmtId="187" formatCode="0.0&quot; µmol/l&quot;"/>
    <numFmt numFmtId="188" formatCode="0.0%"/>
    <numFmt numFmtId="189" formatCode="0.000"/>
    <numFmt numFmtId="190" formatCode="0.0&quot; mEq/l&quot;"/>
    <numFmt numFmtId="191" formatCode="0.000000000000"/>
    <numFmt numFmtId="192" formatCode="&quot;a=&quot;0"/>
    <numFmt numFmtId="193" formatCode="&quot;b=&quot;0"/>
    <numFmt numFmtId="194" formatCode="&quot;c=&quot;0"/>
    <numFmt numFmtId="195" formatCode="&quot;d=&quot;0"/>
    <numFmt numFmtId="196" formatCode="&quot;PPV &quot;0.000"/>
    <numFmt numFmtId="197" formatCode="&quot;NPV &quot;0.000"/>
    <numFmt numFmtId="198" formatCode="0.00&quot; : 1&quot;"/>
    <numFmt numFmtId="199" formatCode="&quot;Sen &quot;0.000"/>
    <numFmt numFmtId="200" formatCode="&quot;Spec &quot;0.000"/>
    <numFmt numFmtId="201" formatCode="0.0&quot;kg&quot;"/>
    <numFmt numFmtId="202" formatCode="0&quot; cm&quot;"/>
    <numFmt numFmtId="203" formatCode="0&quot; L/min&quot;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3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sz val="11"/>
      <name val="Arial"/>
      <family val="2"/>
    </font>
    <font>
      <sz val="7"/>
      <name val="Arial"/>
      <family val="2"/>
    </font>
    <font>
      <vertAlign val="subscript"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7"/>
      <color theme="10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B3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2" fontId="9" fillId="0" borderId="0" applyFont="0" applyFill="0" applyBorder="0" applyAlignment="0" applyProtection="0">
      <alignment horizontal="center"/>
    </xf>
    <xf numFmtId="178" fontId="3" fillId="0" borderId="0" applyFont="0" applyFill="0" applyBorder="0" applyProtection="0">
      <alignment horizontal="center"/>
    </xf>
    <xf numFmtId="0" fontId="8" fillId="0" borderId="0">
      <alignment vertical="center"/>
    </xf>
    <xf numFmtId="0" fontId="3" fillId="0" borderId="0"/>
    <xf numFmtId="0" fontId="9" fillId="0" borderId="0" applyFill="0" applyBorder="0" applyProtection="0">
      <alignment horizontal="center" vertical="center"/>
    </xf>
    <xf numFmtId="9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8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1" fontId="4" fillId="0" borderId="0" xfId="0" applyNumberFormat="1" applyFont="1"/>
    <xf numFmtId="0" fontId="5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0" fillId="0" borderId="0" xfId="0" applyNumberFormat="1"/>
    <xf numFmtId="0" fontId="8" fillId="0" borderId="0" xfId="3">
      <alignment vertical="center"/>
    </xf>
    <xf numFmtId="169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0" xfId="4"/>
    <xf numFmtId="0" fontId="3" fillId="0" borderId="0" xfId="4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9" fillId="0" borderId="0" xfId="5">
      <alignment horizontal="center" vertical="center"/>
    </xf>
    <xf numFmtId="0" fontId="9" fillId="0" borderId="0" xfId="5" applyBorder="1">
      <alignment horizontal="center" vertical="center"/>
    </xf>
    <xf numFmtId="0" fontId="3" fillId="0" borderId="23" xfId="5" applyFont="1" applyBorder="1">
      <alignment horizontal="center" vertical="center"/>
    </xf>
    <xf numFmtId="0" fontId="3" fillId="0" borderId="4" xfId="5" applyFont="1" applyBorder="1">
      <alignment horizontal="center" vertical="center"/>
    </xf>
    <xf numFmtId="176" fontId="3" fillId="0" borderId="24" xfId="5" applyNumberFormat="1" applyFont="1" applyBorder="1">
      <alignment horizontal="center" vertical="center"/>
    </xf>
    <xf numFmtId="176" fontId="3" fillId="0" borderId="25" xfId="5" applyNumberFormat="1" applyFont="1" applyBorder="1">
      <alignment horizontal="center" vertical="center"/>
    </xf>
    <xf numFmtId="176" fontId="3" fillId="0" borderId="4" xfId="5" applyNumberFormat="1" applyFont="1" applyBorder="1">
      <alignment horizontal="center" vertical="center"/>
    </xf>
    <xf numFmtId="0" fontId="3" fillId="0" borderId="26" xfId="5" applyFont="1" applyBorder="1">
      <alignment horizontal="center" vertical="center"/>
    </xf>
    <xf numFmtId="0" fontId="3" fillId="0" borderId="22" xfId="5" applyFont="1" applyBorder="1">
      <alignment horizontal="center" vertical="center"/>
    </xf>
    <xf numFmtId="0" fontId="3" fillId="0" borderId="27" xfId="5" applyFont="1" applyBorder="1" applyProtection="1">
      <alignment horizontal="center" vertical="center"/>
    </xf>
    <xf numFmtId="0" fontId="3" fillId="0" borderId="28" xfId="5" applyFont="1" applyBorder="1" applyProtection="1">
      <alignment horizontal="center" vertical="center"/>
    </xf>
    <xf numFmtId="177" fontId="3" fillId="0" borderId="11" xfId="5" applyNumberFormat="1" applyFont="1" applyBorder="1">
      <alignment horizontal="center" vertical="center"/>
    </xf>
    <xf numFmtId="0" fontId="3" fillId="0" borderId="21" xfId="5" applyFont="1" applyBorder="1" applyProtection="1">
      <alignment horizontal="center" vertical="center"/>
    </xf>
    <xf numFmtId="1" fontId="4" fillId="0" borderId="29" xfId="5" applyNumberFormat="1" applyFont="1" applyBorder="1">
      <alignment horizontal="center" vertical="center"/>
    </xf>
    <xf numFmtId="1" fontId="4" fillId="0" borderId="30" xfId="5" applyNumberFormat="1" applyFont="1" applyBorder="1">
      <alignment horizontal="center" vertical="center"/>
    </xf>
    <xf numFmtId="1" fontId="4" fillId="0" borderId="21" xfId="5" applyNumberFormat="1" applyFont="1" applyBorder="1">
      <alignment horizontal="center" vertical="center"/>
    </xf>
    <xf numFmtId="177" fontId="3" fillId="0" borderId="10" xfId="1" applyNumberFormat="1" applyFont="1" applyBorder="1" applyAlignment="1">
      <alignment horizontal="center" vertical="center"/>
    </xf>
    <xf numFmtId="177" fontId="3" fillId="0" borderId="26" xfId="1" applyNumberFormat="1" applyFont="1" applyBorder="1" applyAlignment="1">
      <alignment horizontal="center" vertical="center"/>
    </xf>
    <xf numFmtId="0" fontId="3" fillId="0" borderId="22" xfId="5" applyFont="1" applyBorder="1" applyProtection="1">
      <alignment horizontal="center" vertical="center"/>
    </xf>
    <xf numFmtId="1" fontId="4" fillId="0" borderId="31" xfId="5" applyNumberFormat="1" applyFont="1" applyBorder="1">
      <alignment horizontal="center" vertical="center"/>
    </xf>
    <xf numFmtId="1" fontId="4" fillId="0" borderId="32" xfId="5" applyNumberFormat="1" applyFont="1" applyBorder="1">
      <alignment horizontal="center" vertical="center"/>
    </xf>
    <xf numFmtId="1" fontId="4" fillId="0" borderId="22" xfId="5" applyNumberFormat="1" applyFont="1" applyBorder="1">
      <alignment horizontal="center" vertical="center"/>
    </xf>
    <xf numFmtId="0" fontId="11" fillId="0" borderId="0" xfId="5" applyFont="1">
      <alignment horizontal="center" vertical="center"/>
    </xf>
    <xf numFmtId="0" fontId="11" fillId="0" borderId="0" xfId="5" applyFont="1" applyBorder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74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33" xfId="0" applyNumberFormat="1" applyFont="1" applyFill="1" applyBorder="1" applyAlignment="1" applyProtection="1">
      <alignment horizontal="center" vertical="center"/>
      <protection locked="0"/>
    </xf>
    <xf numFmtId="164" fontId="2" fillId="2" borderId="34" xfId="0" applyNumberFormat="1" applyFont="1" applyFill="1" applyBorder="1" applyAlignment="1" applyProtection="1">
      <alignment horizontal="center" vertical="center"/>
      <protection locked="0"/>
    </xf>
    <xf numFmtId="164" fontId="2" fillId="2" borderId="35" xfId="0" applyNumberFormat="1" applyFont="1" applyFill="1" applyBorder="1" applyAlignment="1" applyProtection="1">
      <alignment horizontal="center" vertical="center"/>
      <protection locked="0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164" fontId="6" fillId="2" borderId="22" xfId="0" applyNumberFormat="1" applyFont="1" applyFill="1" applyBorder="1" applyAlignment="1" applyProtection="1">
      <alignment horizontal="center" vertical="center"/>
      <protection locked="0"/>
    </xf>
    <xf numFmtId="2" fontId="6" fillId="3" borderId="21" xfId="0" applyNumberFormat="1" applyFont="1" applyFill="1" applyBorder="1" applyAlignment="1">
      <alignment horizontal="center" vertical="center"/>
    </xf>
    <xf numFmtId="174" fontId="6" fillId="3" borderId="22" xfId="0" applyNumberFormat="1" applyFont="1" applyFill="1" applyBorder="1" applyAlignment="1">
      <alignment horizontal="center" vertical="center"/>
    </xf>
    <xf numFmtId="9" fontId="2" fillId="3" borderId="36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170" fontId="6" fillId="2" borderId="33" xfId="0" applyNumberFormat="1" applyFont="1" applyFill="1" applyBorder="1" applyAlignment="1" applyProtection="1">
      <alignment horizontal="center" vertical="center"/>
      <protection locked="0"/>
    </xf>
    <xf numFmtId="2" fontId="6" fillId="2" borderId="34" xfId="0" applyNumberFormat="1" applyFont="1" applyFill="1" applyBorder="1" applyAlignment="1" applyProtection="1">
      <alignment horizontal="center" vertical="center"/>
      <protection locked="0"/>
    </xf>
    <xf numFmtId="170" fontId="6" fillId="2" borderId="34" xfId="0" applyNumberFormat="1" applyFont="1" applyFill="1" applyBorder="1" applyAlignment="1" applyProtection="1">
      <alignment horizontal="center" vertical="center"/>
      <protection locked="0"/>
    </xf>
    <xf numFmtId="2" fontId="6" fillId="3" borderId="3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186" fontId="9" fillId="4" borderId="40" xfId="0" applyNumberFormat="1" applyFont="1" applyFill="1" applyBorder="1" applyAlignment="1">
      <alignment horizontal="center" vertical="center"/>
    </xf>
    <xf numFmtId="186" fontId="9" fillId="4" borderId="41" xfId="0" applyNumberFormat="1" applyFont="1" applyFill="1" applyBorder="1" applyAlignment="1">
      <alignment horizontal="center" vertical="center"/>
    </xf>
    <xf numFmtId="184" fontId="9" fillId="4" borderId="41" xfId="0" applyNumberFormat="1" applyFont="1" applyFill="1" applyBorder="1" applyAlignment="1">
      <alignment vertical="center"/>
    </xf>
    <xf numFmtId="0" fontId="12" fillId="0" borderId="0" xfId="0" applyFont="1" applyAlignment="1">
      <alignment horizontal="left"/>
    </xf>
    <xf numFmtId="166" fontId="6" fillId="2" borderId="4" xfId="0" applyNumberFormat="1" applyFont="1" applyFill="1" applyBorder="1" applyAlignment="1" applyProtection="1">
      <alignment horizontal="right" vertical="center" indent="1"/>
      <protection locked="0"/>
    </xf>
    <xf numFmtId="167" fontId="6" fillId="2" borderId="21" xfId="0" applyNumberFormat="1" applyFont="1" applyFill="1" applyBorder="1" applyAlignment="1" applyProtection="1">
      <alignment horizontal="right" vertical="center" indent="1"/>
      <protection locked="0"/>
    </xf>
    <xf numFmtId="168" fontId="6" fillId="3" borderId="22" xfId="0" applyNumberFormat="1" applyFont="1" applyFill="1" applyBorder="1" applyAlignment="1">
      <alignment horizontal="right" vertical="center" indent="1"/>
    </xf>
    <xf numFmtId="164" fontId="6" fillId="2" borderId="4" xfId="0" applyNumberFormat="1" applyFont="1" applyFill="1" applyBorder="1" applyAlignment="1" applyProtection="1">
      <alignment horizontal="right" vertical="center" indent="1"/>
      <protection locked="0"/>
    </xf>
    <xf numFmtId="179" fontId="6" fillId="3" borderId="22" xfId="0" applyNumberFormat="1" applyFont="1" applyFill="1" applyBorder="1" applyAlignment="1">
      <alignment horizontal="right" vertical="center" indent="1"/>
    </xf>
    <xf numFmtId="180" fontId="9" fillId="2" borderId="25" xfId="0" applyNumberFormat="1" applyFont="1" applyFill="1" applyBorder="1" applyAlignment="1" applyProtection="1">
      <alignment horizontal="right" vertical="center" indent="1"/>
      <protection locked="0"/>
    </xf>
    <xf numFmtId="181" fontId="9" fillId="2" borderId="30" xfId="0" applyNumberFormat="1" applyFont="1" applyFill="1" applyBorder="1" applyAlignment="1" applyProtection="1">
      <alignment horizontal="right" vertical="center" indent="1"/>
      <protection locked="0"/>
    </xf>
    <xf numFmtId="181" fontId="9" fillId="0" borderId="30" xfId="0" applyNumberFormat="1" applyFont="1" applyBorder="1" applyAlignment="1">
      <alignment horizontal="right" vertical="center" indent="1"/>
    </xf>
    <xf numFmtId="184" fontId="9" fillId="2" borderId="30" xfId="0" applyNumberFormat="1" applyFont="1" applyFill="1" applyBorder="1" applyAlignment="1" applyProtection="1">
      <alignment horizontal="right" vertical="center" indent="1"/>
      <protection locked="0"/>
    </xf>
    <xf numFmtId="182" fontId="9" fillId="3" borderId="4" xfId="0" applyNumberFormat="1" applyFont="1" applyFill="1" applyBorder="1" applyAlignment="1">
      <alignment horizontal="right" vertical="center" indent="1"/>
    </xf>
    <xf numFmtId="187" fontId="9" fillId="3" borderId="21" xfId="0" applyNumberFormat="1" applyFont="1" applyFill="1" applyBorder="1" applyAlignment="1">
      <alignment horizontal="right" vertical="center" indent="1"/>
    </xf>
    <xf numFmtId="182" fontId="9" fillId="3" borderId="21" xfId="0" applyNumberFormat="1" applyFont="1" applyFill="1" applyBorder="1" applyAlignment="1">
      <alignment horizontal="right" vertical="center" indent="1"/>
    </xf>
    <xf numFmtId="185" fontId="9" fillId="3" borderId="21" xfId="0" applyNumberFormat="1" applyFont="1" applyFill="1" applyBorder="1" applyAlignment="1">
      <alignment horizontal="righ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169" fontId="6" fillId="0" borderId="17" xfId="0" applyNumberFormat="1" applyFont="1" applyBorder="1" applyAlignment="1">
      <alignment horizontal="left" vertical="center" indent="1"/>
    </xf>
    <xf numFmtId="171" fontId="8" fillId="2" borderId="46" xfId="3" applyNumberFormat="1" applyFill="1" applyBorder="1" applyAlignment="1" applyProtection="1">
      <alignment horizontal="right" vertical="center" indent="2"/>
      <protection locked="0"/>
    </xf>
    <xf numFmtId="171" fontId="8" fillId="2" borderId="14" xfId="3" applyNumberFormat="1" applyFill="1" applyBorder="1" applyAlignment="1" applyProtection="1">
      <alignment horizontal="right" vertical="center" indent="2"/>
      <protection locked="0"/>
    </xf>
    <xf numFmtId="171" fontId="8" fillId="2" borderId="15" xfId="3" applyNumberFormat="1" applyFill="1" applyBorder="1" applyAlignment="1" applyProtection="1">
      <alignment horizontal="right" vertical="center" indent="2"/>
      <protection locked="0"/>
    </xf>
    <xf numFmtId="185" fontId="3" fillId="0" borderId="0" xfId="4" applyNumberFormat="1"/>
    <xf numFmtId="2" fontId="3" fillId="2" borderId="0" xfId="0" applyNumberFormat="1" applyFont="1" applyFill="1" applyAlignment="1" applyProtection="1">
      <alignment horizontal="center" vertical="center"/>
      <protection locked="0"/>
    </xf>
    <xf numFmtId="185" fontId="3" fillId="2" borderId="0" xfId="0" applyNumberFormat="1" applyFont="1" applyFill="1" applyAlignment="1" applyProtection="1">
      <alignment horizontal="center" vertical="center"/>
      <protection locked="0"/>
    </xf>
    <xf numFmtId="164" fontId="6" fillId="3" borderId="21" xfId="0" applyNumberFormat="1" applyFont="1" applyFill="1" applyBorder="1" applyAlignment="1">
      <alignment horizontal="right" vertical="center" indent="1"/>
    </xf>
    <xf numFmtId="175" fontId="11" fillId="0" borderId="4" xfId="4" applyNumberFormat="1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185" fontId="3" fillId="3" borderId="0" xfId="0" applyNumberFormat="1" applyFont="1" applyFill="1" applyAlignment="1">
      <alignment horizontal="center" vertical="center"/>
    </xf>
    <xf numFmtId="0" fontId="3" fillId="0" borderId="0" xfId="4" applyAlignment="1">
      <alignment vertical="center"/>
    </xf>
    <xf numFmtId="184" fontId="3" fillId="3" borderId="0" xfId="0" applyNumberFormat="1" applyFont="1" applyFill="1" applyAlignment="1">
      <alignment horizontal="center" vertical="center"/>
    </xf>
    <xf numFmtId="0" fontId="3" fillId="0" borderId="0" xfId="4" applyAlignment="1">
      <alignment horizontal="left" vertical="center" indent="1"/>
    </xf>
    <xf numFmtId="188" fontId="6" fillId="2" borderId="4" xfId="0" applyNumberFormat="1" applyFont="1" applyFill="1" applyBorder="1" applyAlignment="1" applyProtection="1">
      <alignment horizontal="right" vertical="center" indent="1"/>
      <protection locked="0"/>
    </xf>
    <xf numFmtId="188" fontId="6" fillId="2" borderId="22" xfId="0" applyNumberFormat="1" applyFont="1" applyFill="1" applyBorder="1" applyAlignment="1" applyProtection="1">
      <alignment horizontal="right" vertical="center" indent="1"/>
      <protection locked="0"/>
    </xf>
    <xf numFmtId="188" fontId="6" fillId="0" borderId="22" xfId="0" applyNumberFormat="1" applyFont="1" applyBorder="1" applyAlignment="1">
      <alignment horizontal="right" vertical="center" indent="1"/>
    </xf>
    <xf numFmtId="188" fontId="6" fillId="0" borderId="4" xfId="0" applyNumberFormat="1" applyFont="1" applyBorder="1" applyAlignment="1">
      <alignment horizontal="right" vertical="center" indent="1"/>
    </xf>
    <xf numFmtId="1" fontId="8" fillId="2" borderId="4" xfId="3" applyNumberFormat="1" applyFill="1" applyBorder="1" applyAlignment="1" applyProtection="1">
      <alignment horizontal="left" vertical="center" indent="2"/>
      <protection locked="0"/>
    </xf>
    <xf numFmtId="1" fontId="8" fillId="2" borderId="21" xfId="3" applyNumberFormat="1" applyFill="1" applyBorder="1" applyAlignment="1" applyProtection="1">
      <alignment horizontal="left" vertical="center" indent="2"/>
      <protection locked="0"/>
    </xf>
    <xf numFmtId="0" fontId="8" fillId="0" borderId="6" xfId="3" applyBorder="1" applyAlignment="1">
      <alignment horizontal="center" vertical="center"/>
    </xf>
    <xf numFmtId="0" fontId="8" fillId="0" borderId="7" xfId="3" applyBorder="1" applyAlignment="1">
      <alignment horizontal="center" vertical="center"/>
    </xf>
    <xf numFmtId="0" fontId="8" fillId="0" borderId="8" xfId="3" applyBorder="1" applyAlignment="1">
      <alignment horizontal="center" vertical="center"/>
    </xf>
    <xf numFmtId="0" fontId="8" fillId="0" borderId="9" xfId="3" applyBorder="1" applyAlignment="1">
      <alignment horizontal="center" vertical="center"/>
    </xf>
    <xf numFmtId="0" fontId="8" fillId="0" borderId="10" xfId="3" applyBorder="1" applyAlignment="1">
      <alignment horizontal="center" vertical="center"/>
    </xf>
    <xf numFmtId="172" fontId="8" fillId="0" borderId="43" xfId="3" applyNumberFormat="1" applyBorder="1" applyAlignment="1">
      <alignment horizontal="right" vertical="center" indent="1"/>
    </xf>
    <xf numFmtId="172" fontId="8" fillId="0" borderId="20" xfId="3" applyNumberFormat="1" applyBorder="1" applyAlignment="1">
      <alignment horizontal="right" vertical="center" indent="1"/>
    </xf>
    <xf numFmtId="0" fontId="8" fillId="0" borderId="11" xfId="3" applyBorder="1" applyAlignment="1">
      <alignment horizontal="center" vertical="center"/>
    </xf>
    <xf numFmtId="172" fontId="8" fillId="0" borderId="29" xfId="3" applyNumberFormat="1" applyBorder="1" applyAlignment="1">
      <alignment horizontal="right" vertical="center" indent="1"/>
    </xf>
    <xf numFmtId="172" fontId="8" fillId="0" borderId="21" xfId="3" applyNumberFormat="1" applyBorder="1" applyAlignment="1">
      <alignment horizontal="right" vertical="center" indent="1"/>
    </xf>
    <xf numFmtId="0" fontId="8" fillId="0" borderId="12" xfId="3" applyBorder="1" applyAlignment="1">
      <alignment horizontal="center" vertical="center"/>
    </xf>
    <xf numFmtId="172" fontId="8" fillId="0" borderId="31" xfId="3" applyNumberFormat="1" applyBorder="1" applyAlignment="1">
      <alignment horizontal="right" vertical="center" indent="1"/>
    </xf>
    <xf numFmtId="172" fontId="8" fillId="0" borderId="22" xfId="3" applyNumberFormat="1" applyBorder="1" applyAlignment="1">
      <alignment horizontal="right" vertical="center" indent="1"/>
    </xf>
    <xf numFmtId="172" fontId="8" fillId="0" borderId="44" xfId="3" applyNumberFormat="1" applyBorder="1" applyAlignment="1">
      <alignment horizontal="right" vertical="center" indent="1"/>
    </xf>
    <xf numFmtId="172" fontId="8" fillId="0" borderId="45" xfId="3" applyNumberFormat="1" applyBorder="1" applyAlignment="1">
      <alignment horizontal="right" vertical="center" indent="1"/>
    </xf>
    <xf numFmtId="0" fontId="8" fillId="0" borderId="0" xfId="3" applyAlignment="1">
      <alignment horizontal="right" vertical="center" indent="1"/>
    </xf>
    <xf numFmtId="173" fontId="8" fillId="0" borderId="5" xfId="3" applyNumberFormat="1" applyBorder="1" applyAlignment="1">
      <alignment horizontal="right" vertical="center" indent="2"/>
    </xf>
    <xf numFmtId="173" fontId="8" fillId="3" borderId="7" xfId="3" applyNumberFormat="1" applyFill="1" applyBorder="1" applyAlignment="1">
      <alignment horizontal="right" vertical="center" indent="1"/>
    </xf>
    <xf numFmtId="173" fontId="8" fillId="0" borderId="16" xfId="3" applyNumberFormat="1" applyBorder="1" applyAlignment="1">
      <alignment horizontal="right" vertical="center" indent="2"/>
    </xf>
    <xf numFmtId="173" fontId="8" fillId="0" borderId="17" xfId="3" applyNumberFormat="1" applyBorder="1" applyAlignment="1">
      <alignment horizontal="right" vertical="center" indent="2"/>
    </xf>
    <xf numFmtId="1" fontId="8" fillId="0" borderId="22" xfId="3" applyNumberFormat="1" applyBorder="1" applyAlignment="1">
      <alignment horizontal="left" vertical="center" indent="2"/>
    </xf>
    <xf numFmtId="0" fontId="12" fillId="0" borderId="0" xfId="0" applyFont="1" applyAlignment="1">
      <alignment horizontal="right"/>
    </xf>
    <xf numFmtId="0" fontId="15" fillId="0" borderId="0" xfId="0" applyFont="1"/>
    <xf numFmtId="0" fontId="16" fillId="0" borderId="1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2" fontId="15" fillId="0" borderId="2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82" fontId="15" fillId="2" borderId="36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 indent="1"/>
    </xf>
    <xf numFmtId="183" fontId="15" fillId="3" borderId="0" xfId="0" applyNumberFormat="1" applyFont="1" applyFill="1" applyAlignment="1">
      <alignment horizontal="right" vertical="center"/>
    </xf>
    <xf numFmtId="0" fontId="18" fillId="3" borderId="0" xfId="0" applyFont="1" applyFill="1" applyAlignment="1">
      <alignment horizontal="center" vertical="center"/>
    </xf>
    <xf numFmtId="183" fontId="15" fillId="3" borderId="0" xfId="0" applyNumberFormat="1" applyFont="1" applyFill="1" applyAlignment="1">
      <alignment horizontal="left" vertical="center"/>
    </xf>
    <xf numFmtId="182" fontId="15" fillId="4" borderId="0" xfId="0" applyNumberFormat="1" applyFont="1" applyFill="1" applyAlignment="1">
      <alignment horizontal="center" vertical="center"/>
    </xf>
    <xf numFmtId="183" fontId="15" fillId="4" borderId="0" xfId="0" applyNumberFormat="1" applyFont="1" applyFill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183" fontId="15" fillId="4" borderId="0" xfId="0" applyNumberFormat="1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184" fontId="15" fillId="3" borderId="0" xfId="0" applyNumberFormat="1" applyFont="1" applyFill="1" applyAlignment="1">
      <alignment horizontal="right" vertical="center"/>
    </xf>
    <xf numFmtId="184" fontId="15" fillId="3" borderId="0" xfId="0" applyNumberFormat="1" applyFont="1" applyFill="1" applyAlignment="1">
      <alignment horizontal="left" vertical="center"/>
    </xf>
    <xf numFmtId="2" fontId="11" fillId="0" borderId="23" xfId="4" applyNumberFormat="1" applyFont="1" applyBorder="1" applyAlignment="1">
      <alignment horizontal="center" vertical="center"/>
    </xf>
    <xf numFmtId="2" fontId="11" fillId="0" borderId="11" xfId="4" applyNumberFormat="1" applyFont="1" applyBorder="1" applyAlignment="1">
      <alignment horizontal="center" vertical="center"/>
    </xf>
    <xf numFmtId="2" fontId="11" fillId="0" borderId="12" xfId="4" applyNumberFormat="1" applyFont="1" applyBorder="1" applyAlignment="1">
      <alignment horizontal="center" vertical="center"/>
    </xf>
    <xf numFmtId="0" fontId="9" fillId="0" borderId="47" xfId="4" applyFont="1" applyBorder="1" applyAlignment="1">
      <alignment horizontal="center" vertical="center"/>
    </xf>
    <xf numFmtId="0" fontId="9" fillId="0" borderId="48" xfId="4" applyFont="1" applyBorder="1" applyAlignment="1">
      <alignment horizontal="center" vertical="center"/>
    </xf>
    <xf numFmtId="175" fontId="11" fillId="0" borderId="30" xfId="4" applyNumberFormat="1" applyFont="1" applyBorder="1" applyAlignment="1">
      <alignment horizontal="center" vertical="center"/>
    </xf>
    <xf numFmtId="175" fontId="11" fillId="0" borderId="5" xfId="4" applyNumberFormat="1" applyFont="1" applyBorder="1" applyAlignment="1">
      <alignment horizontal="center" vertical="center"/>
    </xf>
    <xf numFmtId="175" fontId="11" fillId="0" borderId="25" xfId="4" applyNumberFormat="1" applyFont="1" applyBorder="1" applyAlignment="1">
      <alignment horizontal="center" vertical="center"/>
    </xf>
    <xf numFmtId="175" fontId="11" fillId="0" borderId="16" xfId="4" applyNumberFormat="1" applyFont="1" applyBorder="1" applyAlignment="1">
      <alignment horizontal="center" vertical="center"/>
    </xf>
    <xf numFmtId="175" fontId="11" fillId="0" borderId="21" xfId="4" applyNumberFormat="1" applyFont="1" applyBorder="1" applyAlignment="1">
      <alignment horizontal="center" vertical="center"/>
    </xf>
    <xf numFmtId="175" fontId="11" fillId="0" borderId="17" xfId="4" applyNumberFormat="1" applyFont="1" applyBorder="1" applyAlignment="1">
      <alignment horizontal="center" vertical="center"/>
    </xf>
    <xf numFmtId="175" fontId="11" fillId="0" borderId="32" xfId="4" applyNumberFormat="1" applyFont="1" applyBorder="1" applyAlignment="1">
      <alignment horizontal="center" vertical="center"/>
    </xf>
    <xf numFmtId="175" fontId="11" fillId="0" borderId="22" xfId="4" applyNumberFormat="1" applyFont="1" applyBorder="1" applyAlignment="1">
      <alignment horizontal="center" vertical="center"/>
    </xf>
    <xf numFmtId="190" fontId="9" fillId="2" borderId="13" xfId="0" applyNumberFormat="1" applyFont="1" applyFill="1" applyBorder="1" applyAlignment="1" applyProtection="1">
      <alignment horizontal="right" vertical="center" indent="1"/>
      <protection locked="0"/>
    </xf>
    <xf numFmtId="182" fontId="9" fillId="2" borderId="14" xfId="0" applyNumberFormat="1" applyFont="1" applyFill="1" applyBorder="1" applyAlignment="1" applyProtection="1">
      <alignment horizontal="right" vertical="center" indent="1"/>
      <protection locked="0"/>
    </xf>
    <xf numFmtId="190" fontId="9" fillId="3" borderId="14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9" fillId="0" borderId="17" xfId="0" applyFont="1" applyBorder="1" applyAlignment="1">
      <alignment vertical="center"/>
    </xf>
    <xf numFmtId="184" fontId="9" fillId="2" borderId="32" xfId="0" applyNumberFormat="1" applyFont="1" applyFill="1" applyBorder="1" applyAlignment="1" applyProtection="1">
      <alignment horizontal="right" vertical="center" indent="1"/>
      <protection locked="0"/>
    </xf>
    <xf numFmtId="0" fontId="9" fillId="4" borderId="42" xfId="0" applyFont="1" applyFill="1" applyBorder="1" applyAlignment="1">
      <alignment vertical="center"/>
    </xf>
    <xf numFmtId="185" fontId="9" fillId="3" borderId="22" xfId="0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188" fontId="6" fillId="2" borderId="9" xfId="0" applyNumberFormat="1" applyFont="1" applyFill="1" applyBorder="1" applyAlignment="1" applyProtection="1">
      <alignment horizontal="right" vertical="center" indent="1"/>
      <protection locked="0"/>
    </xf>
    <xf numFmtId="0" fontId="6" fillId="0" borderId="50" xfId="0" applyFont="1" applyBorder="1" applyAlignment="1">
      <alignment horizontal="center" vertical="center"/>
    </xf>
    <xf numFmtId="188" fontId="6" fillId="2" borderId="5" xfId="0" applyNumberFormat="1" applyFont="1" applyFill="1" applyBorder="1" applyAlignment="1" applyProtection="1">
      <alignment horizontal="center" vertical="center"/>
      <protection locked="0"/>
    </xf>
    <xf numFmtId="188" fontId="6" fillId="0" borderId="17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91" fontId="0" fillId="0" borderId="0" xfId="0" applyNumberFormat="1"/>
    <xf numFmtId="10" fontId="6" fillId="0" borderId="4" xfId="0" applyNumberFormat="1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188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96" fontId="0" fillId="0" borderId="0" xfId="0" applyNumberFormat="1" applyAlignment="1">
      <alignment horizontal="center" vertical="center"/>
    </xf>
    <xf numFmtId="19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right" vertical="center"/>
    </xf>
    <xf numFmtId="198" fontId="6" fillId="0" borderId="4" xfId="0" applyNumberFormat="1" applyFont="1" applyBorder="1" applyAlignment="1">
      <alignment horizontal="center" vertical="center"/>
    </xf>
    <xf numFmtId="198" fontId="6" fillId="0" borderId="22" xfId="0" applyNumberFormat="1" applyFont="1" applyBorder="1" applyAlignment="1">
      <alignment horizontal="center" vertical="center"/>
    </xf>
    <xf numFmtId="198" fontId="6" fillId="0" borderId="5" xfId="0" applyNumberFormat="1" applyFont="1" applyBorder="1" applyAlignment="1">
      <alignment horizontal="center" vertical="center"/>
    </xf>
    <xf numFmtId="198" fontId="6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199" fontId="0" fillId="0" borderId="0" xfId="0" applyNumberFormat="1" applyAlignment="1">
      <alignment horizontal="center" vertical="center"/>
    </xf>
    <xf numFmtId="200" fontId="0" fillId="0" borderId="0" xfId="0" applyNumberFormat="1" applyAlignment="1">
      <alignment horizontal="center" vertical="center"/>
    </xf>
    <xf numFmtId="192" fontId="0" fillId="2" borderId="5" xfId="0" applyNumberFormat="1" applyFill="1" applyBorder="1" applyAlignment="1" applyProtection="1">
      <alignment horizontal="center" vertical="center"/>
      <protection locked="0"/>
    </xf>
    <xf numFmtId="193" fontId="0" fillId="2" borderId="4" xfId="0" applyNumberFormat="1" applyFill="1" applyBorder="1" applyAlignment="1" applyProtection="1">
      <alignment horizontal="center" vertical="center"/>
      <protection locked="0"/>
    </xf>
    <xf numFmtId="194" fontId="0" fillId="2" borderId="17" xfId="0" applyNumberFormat="1" applyFill="1" applyBorder="1" applyAlignment="1" applyProtection="1">
      <alignment horizontal="center" vertical="center"/>
      <protection locked="0"/>
    </xf>
    <xf numFmtId="195" fontId="0" fillId="2" borderId="22" xfId="0" applyNumberForma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89" fontId="6" fillId="0" borderId="40" xfId="0" applyNumberFormat="1" applyFont="1" applyBorder="1" applyAlignment="1">
      <alignment horizontal="center" vertical="center"/>
    </xf>
    <xf numFmtId="189" fontId="6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3" fillId="0" borderId="0" xfId="4" applyAlignment="1">
      <alignment horizontal="left" vertical="center" indent="2"/>
    </xf>
    <xf numFmtId="0" fontId="3" fillId="0" borderId="0" xfId="4" applyAlignment="1">
      <alignment horizontal="right"/>
    </xf>
    <xf numFmtId="2" fontId="3" fillId="3" borderId="0" xfId="0" applyNumberFormat="1" applyFont="1" applyFill="1" applyAlignment="1">
      <alignment horizontal="right" vertical="center"/>
    </xf>
    <xf numFmtId="9" fontId="3" fillId="2" borderId="0" xfId="6" applyFont="1" applyFill="1" applyBorder="1" applyAlignment="1" applyProtection="1">
      <alignment horizontal="right" vertical="center"/>
      <protection locked="0"/>
    </xf>
    <xf numFmtId="1" fontId="3" fillId="2" borderId="0" xfId="0" applyNumberFormat="1" applyFont="1" applyFill="1" applyAlignment="1" applyProtection="1">
      <alignment horizontal="right" vertical="center"/>
      <protection locked="0"/>
    </xf>
    <xf numFmtId="0" fontId="23" fillId="0" borderId="0" xfId="7" applyFont="1"/>
    <xf numFmtId="0" fontId="15" fillId="0" borderId="0" xfId="0" applyFont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15" fillId="0" borderId="38" xfId="0" applyFont="1" applyBorder="1"/>
    <xf numFmtId="0" fontId="19" fillId="0" borderId="39" xfId="0" applyFont="1" applyBorder="1" applyAlignment="1">
      <alignment horizontal="right"/>
    </xf>
    <xf numFmtId="0" fontId="15" fillId="0" borderId="54" xfId="0" applyFont="1" applyBorder="1" applyAlignment="1">
      <alignment vertical="center"/>
    </xf>
    <xf numFmtId="0" fontId="15" fillId="0" borderId="55" xfId="0" applyFont="1" applyBorder="1"/>
    <xf numFmtId="0" fontId="3" fillId="0" borderId="26" xfId="0" applyFont="1" applyBorder="1" applyAlignment="1">
      <alignment vertical="center"/>
    </xf>
    <xf numFmtId="0" fontId="15" fillId="0" borderId="56" xfId="0" applyFont="1" applyBorder="1"/>
    <xf numFmtId="0" fontId="15" fillId="0" borderId="28" xfId="0" applyFont="1" applyBorder="1"/>
    <xf numFmtId="0" fontId="19" fillId="0" borderId="0" xfId="0" applyFont="1" applyAlignment="1">
      <alignment horizontal="right" vertical="top"/>
    </xf>
    <xf numFmtId="0" fontId="24" fillId="0" borderId="30" xfId="8" applyFont="1" applyBorder="1" applyAlignment="1">
      <alignment horizontal="center"/>
    </xf>
    <xf numFmtId="0" fontId="1" fillId="0" borderId="0" xfId="8"/>
    <xf numFmtId="0" fontId="24" fillId="0" borderId="0" xfId="8" applyFont="1" applyAlignment="1">
      <alignment horizontal="center"/>
    </xf>
    <xf numFmtId="0" fontId="24" fillId="0" borderId="0" xfId="8" applyFont="1"/>
    <xf numFmtId="0" fontId="1" fillId="0" borderId="0" xfId="8" applyAlignment="1">
      <alignment horizontal="center"/>
    </xf>
    <xf numFmtId="0" fontId="24" fillId="0" borderId="21" xfId="8" applyFont="1" applyBorder="1" applyAlignment="1">
      <alignment horizontal="center"/>
    </xf>
    <xf numFmtId="0" fontId="24" fillId="0" borderId="32" xfId="8" applyFont="1" applyBorder="1" applyAlignment="1">
      <alignment horizontal="center"/>
    </xf>
    <xf numFmtId="9" fontId="24" fillId="0" borderId="22" xfId="8" applyNumberFormat="1" applyFont="1" applyBorder="1" applyAlignment="1">
      <alignment horizontal="center"/>
    </xf>
    <xf numFmtId="0" fontId="24" fillId="0" borderId="57" xfId="8" applyFont="1" applyBorder="1" applyAlignment="1">
      <alignment horizontal="center"/>
    </xf>
    <xf numFmtId="0" fontId="24" fillId="0" borderId="20" xfId="8" applyFont="1" applyBorder="1" applyAlignment="1">
      <alignment horizontal="center"/>
    </xf>
    <xf numFmtId="0" fontId="24" fillId="0" borderId="58" xfId="8" applyFont="1" applyBorder="1" applyAlignment="1">
      <alignment horizontal="center"/>
    </xf>
    <xf numFmtId="0" fontId="24" fillId="0" borderId="9" xfId="8" applyFont="1" applyBorder="1" applyAlignment="1">
      <alignment horizontal="center"/>
    </xf>
    <xf numFmtId="0" fontId="24" fillId="0" borderId="8" xfId="8" applyFont="1" applyBorder="1" applyAlignment="1">
      <alignment horizontal="center"/>
    </xf>
    <xf numFmtId="0" fontId="24" fillId="0" borderId="43" xfId="8" applyFont="1" applyBorder="1" applyAlignment="1">
      <alignment horizontal="center"/>
    </xf>
    <xf numFmtId="0" fontId="24" fillId="0" borderId="29" xfId="8" applyFont="1" applyBorder="1" applyAlignment="1">
      <alignment horizontal="center"/>
    </xf>
    <xf numFmtId="0" fontId="24" fillId="0" borderId="31" xfId="8" applyFont="1" applyBorder="1" applyAlignment="1">
      <alignment horizontal="center"/>
    </xf>
    <xf numFmtId="0" fontId="24" fillId="0" borderId="7" xfId="8" applyFont="1" applyBorder="1" applyAlignment="1">
      <alignment horizontal="center"/>
    </xf>
    <xf numFmtId="0" fontId="24" fillId="0" borderId="46" xfId="8" applyFont="1" applyBorder="1" applyAlignment="1">
      <alignment horizontal="center"/>
    </xf>
    <xf numFmtId="0" fontId="24" fillId="0" borderId="14" xfId="8" applyFont="1" applyBorder="1" applyAlignment="1">
      <alignment horizontal="center"/>
    </xf>
    <xf numFmtId="0" fontId="24" fillId="0" borderId="15" xfId="8" applyFont="1" applyBorder="1" applyAlignment="1">
      <alignment horizontal="center"/>
    </xf>
    <xf numFmtId="181" fontId="9" fillId="2" borderId="32" xfId="0" applyNumberFormat="1" applyFont="1" applyFill="1" applyBorder="1" applyAlignment="1" applyProtection="1">
      <alignment horizontal="right" vertical="center" indent="1"/>
      <protection locked="0"/>
    </xf>
    <xf numFmtId="186" fontId="9" fillId="4" borderId="42" xfId="0" applyNumberFormat="1" applyFont="1" applyFill="1" applyBorder="1" applyAlignment="1">
      <alignment horizontal="center" vertical="center"/>
    </xf>
    <xf numFmtId="182" fontId="9" fillId="3" borderId="22" xfId="0" applyNumberFormat="1" applyFont="1" applyFill="1" applyBorder="1" applyAlignment="1">
      <alignment horizontal="right" vertical="center" indent="1"/>
    </xf>
    <xf numFmtId="0" fontId="9" fillId="0" borderId="59" xfId="0" applyFont="1" applyBorder="1" applyAlignment="1">
      <alignment vertical="center"/>
    </xf>
    <xf numFmtId="181" fontId="9" fillId="0" borderId="60" xfId="0" applyNumberFormat="1" applyFont="1" applyBorder="1" applyAlignment="1">
      <alignment horizontal="right" vertical="center" indent="1"/>
    </xf>
    <xf numFmtId="186" fontId="9" fillId="4" borderId="61" xfId="0" applyNumberFormat="1" applyFont="1" applyFill="1" applyBorder="1" applyAlignment="1">
      <alignment horizontal="center" vertical="center"/>
    </xf>
    <xf numFmtId="182" fontId="9" fillId="4" borderId="62" xfId="0" applyNumberFormat="1" applyFont="1" applyFill="1" applyBorder="1" applyAlignment="1">
      <alignment horizontal="right" vertical="center" indent="1"/>
    </xf>
    <xf numFmtId="181" fontId="9" fillId="2" borderId="25" xfId="0" applyNumberFormat="1" applyFont="1" applyFill="1" applyBorder="1" applyAlignment="1" applyProtection="1">
      <alignment horizontal="right" vertical="center" indent="1"/>
      <protection locked="0"/>
    </xf>
    <xf numFmtId="1" fontId="9" fillId="4" borderId="61" xfId="0" applyNumberFormat="1" applyFont="1" applyFill="1" applyBorder="1" applyAlignment="1">
      <alignment horizontal="center" vertical="center"/>
    </xf>
    <xf numFmtId="184" fontId="9" fillId="2" borderId="25" xfId="0" applyNumberFormat="1" applyFont="1" applyFill="1" applyBorder="1" applyAlignment="1" applyProtection="1">
      <alignment horizontal="right" vertical="center" indent="1"/>
      <protection locked="0"/>
    </xf>
    <xf numFmtId="184" fontId="9" fillId="4" borderId="40" xfId="0" applyNumberFormat="1" applyFont="1" applyFill="1" applyBorder="1" applyAlignment="1">
      <alignment vertical="center"/>
    </xf>
    <xf numFmtId="185" fontId="9" fillId="3" borderId="4" xfId="0" applyNumberFormat="1" applyFont="1" applyFill="1" applyBorder="1" applyAlignment="1">
      <alignment horizontal="right" vertical="center" indent="1"/>
    </xf>
    <xf numFmtId="177" fontId="3" fillId="2" borderId="5" xfId="0" applyNumberFormat="1" applyFont="1" applyFill="1" applyBorder="1" applyAlignment="1" applyProtection="1">
      <alignment horizontal="center" vertical="center"/>
      <protection locked="0"/>
    </xf>
    <xf numFmtId="20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5" applyFont="1" applyBorder="1">
      <alignment horizontal="center" vertical="center"/>
    </xf>
    <xf numFmtId="0" fontId="9" fillId="0" borderId="0" xfId="5" applyBorder="1">
      <alignment horizontal="center" vertical="center"/>
    </xf>
    <xf numFmtId="0" fontId="6" fillId="0" borderId="0" xfId="5" applyFont="1" applyBorder="1" applyAlignment="1">
      <alignment horizontal="center" vertical="center" textRotation="90"/>
    </xf>
    <xf numFmtId="0" fontId="9" fillId="0" borderId="0" xfId="5" applyBorder="1" applyAlignment="1">
      <alignment horizontal="center" vertical="center" textRotation="90"/>
    </xf>
    <xf numFmtId="186" fontId="3" fillId="0" borderId="17" xfId="5" applyNumberFormat="1" applyFont="1" applyBorder="1">
      <alignment horizontal="center" vertical="center"/>
    </xf>
    <xf numFmtId="186" fontId="3" fillId="0" borderId="22" xfId="5" applyNumberFormat="1" applyFont="1" applyBorder="1">
      <alignment horizontal="center" vertical="center"/>
    </xf>
    <xf numFmtId="203" fontId="7" fillId="0" borderId="2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02" fontId="7" fillId="0" borderId="19" xfId="0" applyNumberFormat="1" applyFont="1" applyBorder="1" applyAlignment="1">
      <alignment horizontal="center" vertical="center"/>
    </xf>
    <xf numFmtId="203" fontId="7" fillId="0" borderId="20" xfId="0" applyNumberFormat="1" applyFont="1" applyBorder="1" applyAlignment="1">
      <alignment horizontal="center" vertical="center"/>
    </xf>
    <xf numFmtId="202" fontId="7" fillId="0" borderId="16" xfId="0" applyNumberFormat="1" applyFont="1" applyBorder="1" applyAlignment="1">
      <alignment horizontal="center" vertical="center"/>
    </xf>
    <xf numFmtId="202" fontId="7" fillId="0" borderId="17" xfId="0" applyNumberFormat="1" applyFont="1" applyBorder="1" applyAlignment="1">
      <alignment horizontal="center" vertical="center"/>
    </xf>
    <xf numFmtId="203" fontId="7" fillId="0" borderId="22" xfId="0" applyNumberFormat="1" applyFont="1" applyBorder="1" applyAlignment="1">
      <alignment horizontal="center" vertical="center"/>
    </xf>
    <xf numFmtId="203" fontId="7" fillId="0" borderId="30" xfId="0" applyNumberFormat="1" applyFont="1" applyBorder="1" applyAlignment="1">
      <alignment horizontal="center" vertical="center"/>
    </xf>
    <xf numFmtId="202" fontId="7" fillId="5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</cellXfs>
  <cellStyles count="9">
    <cellStyle name="Height" xfId="1" xr:uid="{00000000-0005-0000-0000-000000000000}"/>
    <cellStyle name="Hyperlink" xfId="7" builtinId="8"/>
    <cellStyle name="kg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8" xr:uid="{185A7DBA-D4D5-4EA5-A051-E60FE42F426A}"/>
    <cellStyle name="Percent" xfId="6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9273780937297"/>
          <c:y val="7.3634289677536838E-2"/>
          <c:w val="0.82062900059119337"/>
          <c:h val="0.74109349610940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'pH Chart'!$C$2</c:f>
              <c:strCache>
                <c:ptCount val="1"/>
                <c:pt idx="0">
                  <c:v>pH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'pH Chart'!$B$3:$B$26</c:f>
              <c:numCache>
                <c:formatCode>General</c:formatCode>
                <c:ptCount val="24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65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  <c:pt idx="12">
                  <c:v>85</c:v>
                </c:pt>
                <c:pt idx="13">
                  <c:v>90</c:v>
                </c:pt>
                <c:pt idx="14">
                  <c:v>95</c:v>
                </c:pt>
                <c:pt idx="15">
                  <c:v>100</c:v>
                </c:pt>
                <c:pt idx="16">
                  <c:v>105</c:v>
                </c:pt>
                <c:pt idx="17">
                  <c:v>110</c:v>
                </c:pt>
                <c:pt idx="18">
                  <c:v>115</c:v>
                </c:pt>
                <c:pt idx="19">
                  <c:v>120</c:v>
                </c:pt>
                <c:pt idx="20">
                  <c:v>125</c:v>
                </c:pt>
                <c:pt idx="21">
                  <c:v>130</c:v>
                </c:pt>
                <c:pt idx="22">
                  <c:v>135</c:v>
                </c:pt>
                <c:pt idx="23">
                  <c:v>140</c:v>
                </c:pt>
              </c:numCache>
            </c:numRef>
          </c:xVal>
          <c:yVal>
            <c:numRef>
              <c:f>'pH Chart'!$C$3:$C$26</c:f>
              <c:numCache>
                <c:formatCode>0.00</c:formatCode>
                <c:ptCount val="24"/>
                <c:pt idx="0">
                  <c:v>7.6020599913279625</c:v>
                </c:pt>
                <c:pt idx="1">
                  <c:v>7.5228787452803374</c:v>
                </c:pt>
                <c:pt idx="2">
                  <c:v>7.4559319556497243</c:v>
                </c:pt>
                <c:pt idx="3">
                  <c:v>7.3979400086720375</c:v>
                </c:pt>
                <c:pt idx="4">
                  <c:v>7.346787486224656</c:v>
                </c:pt>
                <c:pt idx="5">
                  <c:v>7.3010299956639813</c:v>
                </c:pt>
                <c:pt idx="6">
                  <c:v>7.2596373105057559</c:v>
                </c:pt>
                <c:pt idx="7">
                  <c:v>7.2218487496163561</c:v>
                </c:pt>
                <c:pt idx="8">
                  <c:v>7.1870866433571443</c:v>
                </c:pt>
                <c:pt idx="9">
                  <c:v>7.1549019599857431</c:v>
                </c:pt>
                <c:pt idx="10">
                  <c:v>7.1249387366082999</c:v>
                </c:pt>
                <c:pt idx="11">
                  <c:v>7.0969100130080562</c:v>
                </c:pt>
                <c:pt idx="12">
                  <c:v>7.0705810742857071</c:v>
                </c:pt>
                <c:pt idx="13">
                  <c:v>7.0457574905606748</c:v>
                </c:pt>
                <c:pt idx="14">
                  <c:v>7.0222763947111524</c:v>
                </c:pt>
                <c:pt idx="15">
                  <c:v>7</c:v>
                </c:pt>
                <c:pt idx="16">
                  <c:v>6.9788107009300617</c:v>
                </c:pt>
                <c:pt idx="17">
                  <c:v>6.9586073148417746</c:v>
                </c:pt>
                <c:pt idx="18">
                  <c:v>6.9393021596463882</c:v>
                </c:pt>
                <c:pt idx="19">
                  <c:v>6.9208187539523749</c:v>
                </c:pt>
                <c:pt idx="20">
                  <c:v>6.9030899869919438</c:v>
                </c:pt>
                <c:pt idx="21">
                  <c:v>6.8860566476931631</c:v>
                </c:pt>
                <c:pt idx="22">
                  <c:v>6.8696662315049943</c:v>
                </c:pt>
                <c:pt idx="23">
                  <c:v>6.8538719643217618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B0-4B1B-89AD-E6DF26C56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53632"/>
        <c:axId val="66055552"/>
      </c:scatterChart>
      <c:valAx>
        <c:axId val="66053632"/>
        <c:scaling>
          <c:orientation val="minMax"/>
          <c:max val="140"/>
          <c:min val="20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H</a:t>
                </a:r>
                <a:r>
                  <a:rPr lang="en-GB" baseline="30000"/>
                  <a:t>+</a:t>
                </a:r>
                <a:r>
                  <a:rPr lang="en-GB"/>
                  <a:t> nmol/l</a:t>
                </a:r>
              </a:p>
            </c:rich>
          </c:tx>
          <c:layout>
            <c:manualLayout>
              <c:xMode val="edge"/>
              <c:yMode val="edge"/>
              <c:x val="0.50971685357512131"/>
              <c:y val="0.90498909467302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55552"/>
        <c:crosses val="autoZero"/>
        <c:crossBetween val="midCat"/>
        <c:majorUnit val="10"/>
        <c:minorUnit val="10"/>
      </c:valAx>
      <c:valAx>
        <c:axId val="6605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pH</a:t>
                </a:r>
              </a:p>
            </c:rich>
          </c:tx>
          <c:layout>
            <c:manualLayout>
              <c:xMode val="edge"/>
              <c:yMode val="edge"/>
              <c:x val="7.4737930485961977E-3"/>
              <c:y val="0.399050435596958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536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89482470784642"/>
          <c:y val="0.10417310872400208"/>
          <c:w val="0.79978281038826693"/>
          <c:h val="0.758186666666666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ARDS!$D$2</c:f>
              <c:strCache>
                <c:ptCount val="1"/>
                <c:pt idx="0">
                  <c:v>ARDS mod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ARDS!$B$3:$B$19</c:f>
              <c:numCache>
                <c:formatCode>0.00</c:formatCode>
                <c:ptCount val="17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  <c:pt idx="15">
                  <c:v>0.95</c:v>
                </c:pt>
                <c:pt idx="16">
                  <c:v>1</c:v>
                </c:pt>
              </c:numCache>
            </c:numRef>
          </c:xVal>
          <c:yVal>
            <c:numRef>
              <c:f>ARDS!$D$3:$D$19</c:f>
              <c:numCache>
                <c:formatCode>0.00\ "kPa"</c:formatCode>
                <c:ptCount val="17"/>
                <c:pt idx="0">
                  <c:v>5.34</c:v>
                </c:pt>
                <c:pt idx="1">
                  <c:v>6.6749999999999998</c:v>
                </c:pt>
                <c:pt idx="2">
                  <c:v>8.01</c:v>
                </c:pt>
                <c:pt idx="3">
                  <c:v>9.3449999999999989</c:v>
                </c:pt>
                <c:pt idx="4">
                  <c:v>10.68</c:v>
                </c:pt>
                <c:pt idx="5">
                  <c:v>12.015000000000001</c:v>
                </c:pt>
                <c:pt idx="6">
                  <c:v>13.35</c:v>
                </c:pt>
                <c:pt idx="7">
                  <c:v>14.685</c:v>
                </c:pt>
                <c:pt idx="8">
                  <c:v>16.02</c:v>
                </c:pt>
                <c:pt idx="9">
                  <c:v>17.355</c:v>
                </c:pt>
                <c:pt idx="10">
                  <c:v>18.689999999999998</c:v>
                </c:pt>
                <c:pt idx="11">
                  <c:v>20.024999999999999</c:v>
                </c:pt>
                <c:pt idx="12">
                  <c:v>21.36</c:v>
                </c:pt>
                <c:pt idx="13">
                  <c:v>22.695</c:v>
                </c:pt>
                <c:pt idx="14">
                  <c:v>24.03</c:v>
                </c:pt>
                <c:pt idx="15">
                  <c:v>25.364999999999998</c:v>
                </c:pt>
                <c:pt idx="16">
                  <c:v>26.7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5B-4DCC-B249-24B9B6FBF46A}"/>
            </c:ext>
          </c:extLst>
        </c:ser>
        <c:ser>
          <c:idx val="1"/>
          <c:order val="1"/>
          <c:tx>
            <c:strRef>
              <c:f>ARDS!$E$2</c:f>
              <c:strCache>
                <c:ptCount val="1"/>
                <c:pt idx="0">
                  <c:v>ARDS mild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ARDS!$B$3:$B$19</c:f>
              <c:numCache>
                <c:formatCode>0.00</c:formatCode>
                <c:ptCount val="17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  <c:pt idx="15">
                  <c:v>0.95</c:v>
                </c:pt>
                <c:pt idx="16">
                  <c:v>1</c:v>
                </c:pt>
              </c:numCache>
            </c:numRef>
          </c:xVal>
          <c:yVal>
            <c:numRef>
              <c:f>ARDS!$E$3:$E$19</c:f>
              <c:numCache>
                <c:formatCode>0.00\ "kPa"</c:formatCode>
                <c:ptCount val="17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  <c:pt idx="14">
                  <c:v>36</c:v>
                </c:pt>
                <c:pt idx="15">
                  <c:v>38</c:v>
                </c:pt>
                <c:pt idx="16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5B-4DCC-B249-24B9B6FBF46A}"/>
            </c:ext>
          </c:extLst>
        </c:ser>
        <c:ser>
          <c:idx val="3"/>
          <c:order val="2"/>
          <c:tx>
            <c:strRef>
              <c:f>ARDS!$C$2</c:f>
              <c:strCache>
                <c:ptCount val="1"/>
                <c:pt idx="0">
                  <c:v>ARDS severe</c:v>
                </c:pt>
              </c:strCache>
            </c:strRef>
          </c:tx>
          <c:marker>
            <c:symbol val="none"/>
          </c:marker>
          <c:xVal>
            <c:numRef>
              <c:f>ARDS!$B$3:$B$19</c:f>
              <c:numCache>
                <c:formatCode>0.00</c:formatCode>
                <c:ptCount val="17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  <c:pt idx="15">
                  <c:v>0.95</c:v>
                </c:pt>
                <c:pt idx="16">
                  <c:v>1</c:v>
                </c:pt>
              </c:numCache>
            </c:numRef>
          </c:xVal>
          <c:yVal>
            <c:numRef>
              <c:f>ARDS!$C$3:$C$19</c:f>
              <c:numCache>
                <c:formatCode>0.00\ "kPa"</c:formatCode>
                <c:ptCount val="17"/>
                <c:pt idx="0">
                  <c:v>2.68</c:v>
                </c:pt>
                <c:pt idx="1">
                  <c:v>3.35</c:v>
                </c:pt>
                <c:pt idx="2">
                  <c:v>4.0199999999999996</c:v>
                </c:pt>
                <c:pt idx="3">
                  <c:v>4.6899999999999995</c:v>
                </c:pt>
                <c:pt idx="4">
                  <c:v>5.36</c:v>
                </c:pt>
                <c:pt idx="5">
                  <c:v>6.03</c:v>
                </c:pt>
                <c:pt idx="6">
                  <c:v>6.7</c:v>
                </c:pt>
                <c:pt idx="7">
                  <c:v>7.370000000000001</c:v>
                </c:pt>
                <c:pt idx="8">
                  <c:v>8.0399999999999991</c:v>
                </c:pt>
                <c:pt idx="9">
                  <c:v>8.7100000000000009</c:v>
                </c:pt>
                <c:pt idx="10">
                  <c:v>9.379999999999999</c:v>
                </c:pt>
                <c:pt idx="11">
                  <c:v>10.050000000000001</c:v>
                </c:pt>
                <c:pt idx="12">
                  <c:v>10.72</c:v>
                </c:pt>
                <c:pt idx="13">
                  <c:v>11.39</c:v>
                </c:pt>
                <c:pt idx="14">
                  <c:v>12.06</c:v>
                </c:pt>
                <c:pt idx="15">
                  <c:v>12.73</c:v>
                </c:pt>
                <c:pt idx="16">
                  <c:v>13.4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F5B-4DCC-B249-24B9B6FBF46A}"/>
            </c:ext>
          </c:extLst>
        </c:ser>
        <c:ser>
          <c:idx val="2"/>
          <c:order val="3"/>
          <c:tx>
            <c:v>patient</c:v>
          </c:tx>
          <c:marker>
            <c:symbol val="square"/>
            <c:size val="11"/>
          </c:marker>
          <c:dPt>
            <c:idx val="0"/>
            <c:marker>
              <c:symbol val="circle"/>
              <c:size val="11"/>
              <c:spPr>
                <a:solidFill>
                  <a:schemeClr val="tx1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F5B-4DCC-B249-24B9B6FBF46A}"/>
              </c:ext>
            </c:extLst>
          </c:dPt>
          <c:xVal>
            <c:numRef>
              <c:f>ARDS!$G$23</c:f>
              <c:numCache>
                <c:formatCode>0.00</c:formatCode>
                <c:ptCount val="1"/>
                <c:pt idx="0">
                  <c:v>0.6</c:v>
                </c:pt>
              </c:numCache>
            </c:numRef>
          </c:xVal>
          <c:yVal>
            <c:numRef>
              <c:f>ARDS!$G$21</c:f>
              <c:numCache>
                <c:formatCode>0.0" kPa"</c:formatCode>
                <c:ptCount val="1"/>
                <c:pt idx="0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F5B-4DCC-B249-24B9B6FB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36608"/>
        <c:axId val="67638784"/>
      </c:scatterChart>
      <c:valAx>
        <c:axId val="67636608"/>
        <c:scaling>
          <c:orientation val="minMax"/>
          <c:max val="1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200" b="0"/>
                  <a:t>FiO</a:t>
                </a:r>
                <a:r>
                  <a:rPr lang="en-GB" sz="1200" b="0" baseline="-25000"/>
                  <a:t>2</a:t>
                </a:r>
              </a:p>
            </c:rich>
          </c:tx>
          <c:layout>
            <c:manualLayout>
              <c:xMode val="edge"/>
              <c:yMode val="edge"/>
              <c:x val="0.54382315387256797"/>
              <c:y val="0.923726334208223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38784"/>
        <c:crosses val="autoZero"/>
        <c:crossBetween val="midCat"/>
      </c:valAx>
      <c:valAx>
        <c:axId val="6763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 anchor="t" anchorCtr="0"/>
              <a:lstStyle/>
              <a:p>
                <a:pPr>
                  <a:defRPr/>
                </a:pPr>
                <a:r>
                  <a:rPr lang="en-GB" sz="1200"/>
                  <a:t>PaO</a:t>
                </a:r>
                <a:r>
                  <a:rPr lang="en-GB" sz="1200" baseline="-25000"/>
                  <a:t>2</a:t>
                </a:r>
              </a:p>
            </c:rich>
          </c:tx>
          <c:layout>
            <c:manualLayout>
              <c:xMode val="edge"/>
              <c:yMode val="edge"/>
              <c:x val="1.6227180527383367E-2"/>
              <c:y val="1.6404558959949449E-2"/>
            </c:manualLayout>
          </c:layout>
          <c:overlay val="0"/>
        </c:title>
        <c:numFmt formatCode="0.00\ &quot;kPa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366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73933405383152"/>
          <c:y val="0.16237813281255412"/>
          <c:w val="0.22515106504181906"/>
          <c:h val="0.201863827231864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</xdr:row>
      <xdr:rowOff>28575</xdr:rowOff>
    </xdr:from>
    <xdr:to>
      <xdr:col>12</xdr:col>
      <xdr:colOff>0</xdr:colOff>
      <xdr:row>25</xdr:row>
      <xdr:rowOff>123825</xdr:rowOff>
    </xdr:to>
    <xdr:graphicFrame macro="">
      <xdr:nvGraphicFramePr>
        <xdr:cNvPr id="7192" name="Chart 2">
          <a:extLst>
            <a:ext uri="{FF2B5EF4-FFF2-40B4-BE49-F238E27FC236}">
              <a16:creationId xmlns:a16="http://schemas.microsoft.com/office/drawing/2014/main" id="{00000000-0008-0000-0000-00001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201612</xdr:colOff>
      <xdr:row>0</xdr:row>
      <xdr:rowOff>47624</xdr:rowOff>
    </xdr:from>
    <xdr:to>
      <xdr:col>12</xdr:col>
      <xdr:colOff>1016000</xdr:colOff>
      <xdr:row>18</xdr:row>
      <xdr:rowOff>190499</xdr:rowOff>
    </xdr:to>
    <xdr:graphicFrame macro="">
      <xdr:nvGraphicFramePr>
        <xdr:cNvPr id="10262" name="Chart 4">
          <a:extLst>
            <a:ext uri="{FF2B5EF4-FFF2-40B4-BE49-F238E27FC236}">
              <a16:creationId xmlns:a16="http://schemas.microsoft.com/office/drawing/2014/main" id="{00000000-0008-0000-0100-00001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</xdr:row>
      <xdr:rowOff>28575</xdr:rowOff>
    </xdr:from>
    <xdr:to>
      <xdr:col>11</xdr:col>
      <xdr:colOff>495300</xdr:colOff>
      <xdr:row>27</xdr:row>
      <xdr:rowOff>95250</xdr:rowOff>
    </xdr:to>
    <xdr:pic>
      <xdr:nvPicPr>
        <xdr:cNvPr id="1055" name="Picture 1" descr="Pneumothorax">
          <a:extLst>
            <a:ext uri="{FF2B5EF4-FFF2-40B4-BE49-F238E27FC236}">
              <a16:creationId xmlns:a16="http://schemas.microsoft.com/office/drawing/2014/main" id="{00000000-0008-0000-03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200025"/>
          <a:ext cx="4705350" cy="496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ickyricky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showGridLines="0" showRowColHeaders="0" topLeftCell="A6" zoomScale="115" zoomScaleNormal="115" workbookViewId="0">
      <selection activeCell="C28" sqref="C28"/>
    </sheetView>
  </sheetViews>
  <sheetFormatPr defaultColWidth="9.17578125" defaultRowHeight="12.7" x14ac:dyDescent="0.4"/>
  <cols>
    <col min="1" max="1" width="2.703125" style="132" customWidth="1"/>
    <col min="2" max="2" width="12.8203125" style="132" customWidth="1"/>
    <col min="3" max="3" width="11.05859375" style="132" customWidth="1"/>
    <col min="4" max="4" width="17.52734375" style="132" customWidth="1"/>
    <col min="5" max="5" width="10.64453125" style="132" customWidth="1"/>
    <col min="6" max="6" width="3.52734375" style="132" customWidth="1"/>
    <col min="7" max="7" width="11.29296875" style="132" customWidth="1"/>
    <col min="8" max="8" width="4.5859375" style="132" customWidth="1"/>
    <col min="9" max="9" width="11.46875" style="132" customWidth="1"/>
    <col min="10" max="11" width="9.17578125" style="132"/>
    <col min="12" max="12" width="15.64453125" style="132" customWidth="1"/>
    <col min="13" max="16384" width="9.17578125" style="132"/>
  </cols>
  <sheetData>
    <row r="1" spans="2:3" ht="9.9499999999999993" customHeight="1" thickBot="1" x14ac:dyDescent="0.45"/>
    <row r="2" spans="2:3" s="135" customFormat="1" ht="15.35" thickBot="1" x14ac:dyDescent="0.45">
      <c r="B2" s="133" t="s">
        <v>68</v>
      </c>
      <c r="C2" s="134" t="s">
        <v>28</v>
      </c>
    </row>
    <row r="3" spans="2:3" s="135" customFormat="1" x14ac:dyDescent="0.4">
      <c r="B3" s="136">
        <v>25</v>
      </c>
      <c r="C3" s="137">
        <f t="shared" ref="C3:C26" si="0">LOG10(10^9/B3)</f>
        <v>7.6020599913279625</v>
      </c>
    </row>
    <row r="4" spans="2:3" s="135" customFormat="1" x14ac:dyDescent="0.4">
      <c r="B4" s="138">
        <v>30</v>
      </c>
      <c r="C4" s="139">
        <f t="shared" si="0"/>
        <v>7.5228787452803374</v>
      </c>
    </row>
    <row r="5" spans="2:3" s="135" customFormat="1" x14ac:dyDescent="0.4">
      <c r="B5" s="138">
        <v>35</v>
      </c>
      <c r="C5" s="139">
        <f t="shared" si="0"/>
        <v>7.4559319556497243</v>
      </c>
    </row>
    <row r="6" spans="2:3" s="135" customFormat="1" x14ac:dyDescent="0.4">
      <c r="B6" s="138">
        <v>40</v>
      </c>
      <c r="C6" s="139">
        <f t="shared" si="0"/>
        <v>7.3979400086720375</v>
      </c>
    </row>
    <row r="7" spans="2:3" s="135" customFormat="1" x14ac:dyDescent="0.4">
      <c r="B7" s="138">
        <v>45</v>
      </c>
      <c r="C7" s="139">
        <f t="shared" si="0"/>
        <v>7.346787486224656</v>
      </c>
    </row>
    <row r="8" spans="2:3" s="135" customFormat="1" x14ac:dyDescent="0.4">
      <c r="B8" s="138">
        <v>50</v>
      </c>
      <c r="C8" s="139">
        <f t="shared" si="0"/>
        <v>7.3010299956639813</v>
      </c>
    </row>
    <row r="9" spans="2:3" s="135" customFormat="1" x14ac:dyDescent="0.4">
      <c r="B9" s="138">
        <v>55</v>
      </c>
      <c r="C9" s="139">
        <f t="shared" si="0"/>
        <v>7.2596373105057559</v>
      </c>
    </row>
    <row r="10" spans="2:3" s="135" customFormat="1" x14ac:dyDescent="0.4">
      <c r="B10" s="138">
        <v>60</v>
      </c>
      <c r="C10" s="139">
        <f t="shared" si="0"/>
        <v>7.2218487496163561</v>
      </c>
    </row>
    <row r="11" spans="2:3" s="135" customFormat="1" x14ac:dyDescent="0.4">
      <c r="B11" s="138">
        <v>65</v>
      </c>
      <c r="C11" s="139">
        <f t="shared" si="0"/>
        <v>7.1870866433571443</v>
      </c>
    </row>
    <row r="12" spans="2:3" s="135" customFormat="1" x14ac:dyDescent="0.4">
      <c r="B12" s="138">
        <v>70</v>
      </c>
      <c r="C12" s="139">
        <f t="shared" si="0"/>
        <v>7.1549019599857431</v>
      </c>
    </row>
    <row r="13" spans="2:3" s="135" customFormat="1" x14ac:dyDescent="0.4">
      <c r="B13" s="138">
        <v>75</v>
      </c>
      <c r="C13" s="139">
        <f t="shared" si="0"/>
        <v>7.1249387366082999</v>
      </c>
    </row>
    <row r="14" spans="2:3" s="135" customFormat="1" x14ac:dyDescent="0.4">
      <c r="B14" s="138">
        <v>80</v>
      </c>
      <c r="C14" s="139">
        <f t="shared" si="0"/>
        <v>7.0969100130080562</v>
      </c>
    </row>
    <row r="15" spans="2:3" s="135" customFormat="1" x14ac:dyDescent="0.4">
      <c r="B15" s="138">
        <v>85</v>
      </c>
      <c r="C15" s="139">
        <f t="shared" si="0"/>
        <v>7.0705810742857071</v>
      </c>
    </row>
    <row r="16" spans="2:3" s="135" customFormat="1" x14ac:dyDescent="0.4">
      <c r="B16" s="138">
        <v>90</v>
      </c>
      <c r="C16" s="139">
        <f t="shared" si="0"/>
        <v>7.0457574905606748</v>
      </c>
    </row>
    <row r="17" spans="2:12" s="135" customFormat="1" x14ac:dyDescent="0.4">
      <c r="B17" s="138">
        <v>95</v>
      </c>
      <c r="C17" s="139">
        <f t="shared" si="0"/>
        <v>7.0222763947111524</v>
      </c>
    </row>
    <row r="18" spans="2:12" s="135" customFormat="1" x14ac:dyDescent="0.4">
      <c r="B18" s="138">
        <v>100</v>
      </c>
      <c r="C18" s="139">
        <f t="shared" si="0"/>
        <v>7</v>
      </c>
    </row>
    <row r="19" spans="2:12" s="135" customFormat="1" x14ac:dyDescent="0.4">
      <c r="B19" s="138">
        <v>105</v>
      </c>
      <c r="C19" s="139">
        <f t="shared" si="0"/>
        <v>6.9788107009300617</v>
      </c>
    </row>
    <row r="20" spans="2:12" s="135" customFormat="1" x14ac:dyDescent="0.4">
      <c r="B20" s="138">
        <v>110</v>
      </c>
      <c r="C20" s="139">
        <f t="shared" si="0"/>
        <v>6.9586073148417746</v>
      </c>
    </row>
    <row r="21" spans="2:12" s="135" customFormat="1" x14ac:dyDescent="0.4">
      <c r="B21" s="138">
        <v>115</v>
      </c>
      <c r="C21" s="139">
        <f t="shared" si="0"/>
        <v>6.9393021596463882</v>
      </c>
    </row>
    <row r="22" spans="2:12" s="135" customFormat="1" x14ac:dyDescent="0.4">
      <c r="B22" s="138">
        <v>120</v>
      </c>
      <c r="C22" s="139">
        <f t="shared" si="0"/>
        <v>6.9208187539523749</v>
      </c>
    </row>
    <row r="23" spans="2:12" s="135" customFormat="1" x14ac:dyDescent="0.4">
      <c r="B23" s="138">
        <v>125</v>
      </c>
      <c r="C23" s="139">
        <f t="shared" si="0"/>
        <v>6.9030899869919438</v>
      </c>
    </row>
    <row r="24" spans="2:12" s="135" customFormat="1" x14ac:dyDescent="0.4">
      <c r="B24" s="138">
        <v>130</v>
      </c>
      <c r="C24" s="139">
        <f t="shared" si="0"/>
        <v>6.8860566476931631</v>
      </c>
    </row>
    <row r="25" spans="2:12" s="135" customFormat="1" x14ac:dyDescent="0.4">
      <c r="B25" s="138">
        <v>135</v>
      </c>
      <c r="C25" s="139">
        <f t="shared" si="0"/>
        <v>6.8696662315049943</v>
      </c>
    </row>
    <row r="26" spans="2:12" s="135" customFormat="1" ht="13" thickBot="1" x14ac:dyDescent="0.45">
      <c r="B26" s="140">
        <v>140</v>
      </c>
      <c r="C26" s="141">
        <f t="shared" si="0"/>
        <v>6.8538719643217618</v>
      </c>
    </row>
    <row r="27" spans="2:12" ht="11.25" customHeight="1" thickBot="1" x14ac:dyDescent="0.45">
      <c r="L27" s="230" t="s">
        <v>45</v>
      </c>
    </row>
    <row r="28" spans="2:12" ht="15.75" customHeight="1" thickTop="1" thickBot="1" x14ac:dyDescent="0.45">
      <c r="B28" s="142" t="s">
        <v>42</v>
      </c>
      <c r="C28" s="143">
        <v>39</v>
      </c>
      <c r="D28" s="144" t="s">
        <v>44</v>
      </c>
      <c r="E28" s="145">
        <f>(1.5*$C$28+6)/7.6</f>
        <v>8.4868421052631575</v>
      </c>
      <c r="F28" s="146" t="s">
        <v>43</v>
      </c>
      <c r="G28" s="147">
        <f>(1.5*$C$28+10)/7.6</f>
        <v>9.0131578947368425</v>
      </c>
      <c r="I28" s="222" t="s">
        <v>99</v>
      </c>
      <c r="J28" s="223"/>
      <c r="K28" s="223"/>
      <c r="L28" s="224"/>
    </row>
    <row r="29" spans="2:12" ht="3.75" customHeight="1" thickTop="1" x14ac:dyDescent="0.4">
      <c r="B29" s="142"/>
      <c r="C29" s="148"/>
      <c r="D29" s="144"/>
      <c r="E29" s="149"/>
      <c r="F29" s="150"/>
      <c r="G29" s="151"/>
      <c r="I29" s="225"/>
      <c r="L29" s="226"/>
    </row>
    <row r="30" spans="2:12" ht="15.75" customHeight="1" thickBot="1" x14ac:dyDescent="0.45">
      <c r="B30" s="221" t="s">
        <v>41</v>
      </c>
      <c r="C30" s="152"/>
      <c r="D30" s="144" t="s">
        <v>47</v>
      </c>
      <c r="E30" s="153">
        <f>1.5*$C$28+6</f>
        <v>64.5</v>
      </c>
      <c r="F30" s="146" t="s">
        <v>43</v>
      </c>
      <c r="G30" s="154">
        <f>1.5*$C$28+10</f>
        <v>68.5</v>
      </c>
      <c r="I30" s="227" t="s">
        <v>98</v>
      </c>
      <c r="J30" s="228"/>
      <c r="K30" s="228"/>
      <c r="L30" s="229"/>
    </row>
    <row r="31" spans="2:12" x14ac:dyDescent="0.4">
      <c r="C31" s="152"/>
      <c r="D31" s="152"/>
      <c r="E31" s="152"/>
      <c r="F31" s="152"/>
      <c r="G31" s="152"/>
      <c r="H31" s="152"/>
      <c r="I31" s="152"/>
    </row>
  </sheetData>
  <sheetProtection algorithmName="SHA-512" hashValue="X4OjsRaWQRJF84N8dU8tYy2X6FaGF9sYWJ1eq0ox+llV/BBJ2CoVArpsXoVTjXdaZ8JjEwXbwC0KldSUCcc8SQ==" saltValue="JR5Qt3QTTt5H11c2hUfw9g==" spinCount="100000" sheet="1" objects="1" scenarios="1"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25"/>
  <sheetViews>
    <sheetView showGridLines="0" showRowColHeaders="0" zoomScale="150" zoomScaleNormal="150" workbookViewId="0">
      <selection activeCell="C14" sqref="C14"/>
    </sheetView>
  </sheetViews>
  <sheetFormatPr defaultRowHeight="12.7" x14ac:dyDescent="0.4"/>
  <cols>
    <col min="1" max="1" width="3.234375" customWidth="1"/>
    <col min="2" max="2" width="29" customWidth="1"/>
    <col min="3" max="3" width="16.46875" customWidth="1"/>
    <col min="4" max="4" width="20.76171875" customWidth="1"/>
    <col min="5" max="5" width="15.87890625" customWidth="1"/>
  </cols>
  <sheetData>
    <row r="1" spans="2:8" ht="8.1" customHeight="1" thickBot="1" x14ac:dyDescent="0.45">
      <c r="B1" s="49"/>
      <c r="C1" s="49"/>
      <c r="D1" s="49"/>
      <c r="E1" s="49"/>
    </row>
    <row r="2" spans="2:8" ht="15.35" thickBot="1" x14ac:dyDescent="0.45">
      <c r="B2" s="67"/>
      <c r="C2" s="68"/>
      <c r="D2" s="66" t="s">
        <v>46</v>
      </c>
      <c r="E2" s="69"/>
    </row>
    <row r="3" spans="2:8" ht="15" x14ac:dyDescent="0.4">
      <c r="B3" s="50" t="s">
        <v>37</v>
      </c>
      <c r="C3" s="79" t="s">
        <v>116</v>
      </c>
      <c r="D3" s="70">
        <v>180.2</v>
      </c>
      <c r="E3" s="83" t="e">
        <f>C3/D3*10</f>
        <v>#VALUE!</v>
      </c>
    </row>
    <row r="4" spans="2:8" ht="15" x14ac:dyDescent="0.4">
      <c r="B4" s="51" t="s">
        <v>32</v>
      </c>
      <c r="C4" s="80">
        <v>0.9</v>
      </c>
      <c r="D4" s="71">
        <v>113.1</v>
      </c>
      <c r="E4" s="84">
        <f>C4/D4*10000</f>
        <v>79.57559681697613</v>
      </c>
    </row>
    <row r="5" spans="2:8" ht="15" x14ac:dyDescent="0.4">
      <c r="B5" s="51" t="s">
        <v>33</v>
      </c>
      <c r="C5" s="80">
        <v>1</v>
      </c>
      <c r="D5" s="71">
        <v>584.70000000000005</v>
      </c>
      <c r="E5" s="84">
        <f>C5/D5*10000</f>
        <v>17.102787754403966</v>
      </c>
    </row>
    <row r="6" spans="2:8" ht="15.35" thickBot="1" x14ac:dyDescent="0.45">
      <c r="B6" s="173" t="s">
        <v>38</v>
      </c>
      <c r="C6" s="251">
        <v>11</v>
      </c>
      <c r="D6" s="252">
        <v>28</v>
      </c>
      <c r="E6" s="253">
        <f>C6/D6*10</f>
        <v>3.9285714285714284</v>
      </c>
    </row>
    <row r="7" spans="2:8" ht="8.1" customHeight="1" thickBot="1" x14ac:dyDescent="0.45">
      <c r="B7" s="254"/>
      <c r="C7" s="255"/>
      <c r="D7" s="256"/>
      <c r="E7" s="257"/>
    </row>
    <row r="8" spans="2:8" ht="15" x14ac:dyDescent="0.4">
      <c r="B8" s="50" t="s">
        <v>114</v>
      </c>
      <c r="C8" s="258">
        <v>10</v>
      </c>
      <c r="D8" s="70">
        <v>40</v>
      </c>
      <c r="E8" s="83">
        <f>C8/D8*10</f>
        <v>2.5</v>
      </c>
    </row>
    <row r="9" spans="2:8" ht="15" x14ac:dyDescent="0.4">
      <c r="B9" s="51" t="s">
        <v>40</v>
      </c>
      <c r="C9" s="80">
        <v>2</v>
      </c>
      <c r="D9" s="71">
        <v>24.3</v>
      </c>
      <c r="E9" s="85">
        <f>C9/D9*10</f>
        <v>0.82304526748971196</v>
      </c>
    </row>
    <row r="10" spans="2:8" ht="15" x14ac:dyDescent="0.4">
      <c r="B10" s="51" t="s">
        <v>39</v>
      </c>
      <c r="C10" s="80">
        <v>10</v>
      </c>
      <c r="D10" s="71">
        <v>30.97</v>
      </c>
      <c r="E10" s="85">
        <f>C10/D10*10</f>
        <v>3.2289312237649339</v>
      </c>
    </row>
    <row r="11" spans="2:8" ht="15.35" thickBot="1" x14ac:dyDescent="0.45">
      <c r="B11" s="173" t="s">
        <v>115</v>
      </c>
      <c r="C11" s="251">
        <v>5</v>
      </c>
      <c r="D11" s="252">
        <v>89</v>
      </c>
      <c r="E11" s="253">
        <f>C11/D11*10</f>
        <v>0.5617977528089888</v>
      </c>
    </row>
    <row r="12" spans="2:8" ht="8.1" customHeight="1" thickBot="1" x14ac:dyDescent="0.45">
      <c r="B12" s="254"/>
      <c r="C12" s="255"/>
      <c r="D12" s="259"/>
      <c r="E12" s="257"/>
    </row>
    <row r="13" spans="2:8" ht="15" x14ac:dyDescent="0.4">
      <c r="B13" s="50" t="s">
        <v>34</v>
      </c>
      <c r="C13" s="260">
        <v>80</v>
      </c>
      <c r="D13" s="261"/>
      <c r="E13" s="262">
        <f>C13/7.501</f>
        <v>10.665244634048793</v>
      </c>
    </row>
    <row r="14" spans="2:8" ht="15" x14ac:dyDescent="0.4">
      <c r="B14" s="51" t="s">
        <v>35</v>
      </c>
      <c r="C14" s="82">
        <v>15</v>
      </c>
      <c r="D14" s="72"/>
      <c r="E14" s="86">
        <f>C14/7.501</f>
        <v>1.9997333688841488</v>
      </c>
      <c r="H14" s="81"/>
    </row>
    <row r="15" spans="2:8" ht="15.35" thickBot="1" x14ac:dyDescent="0.45">
      <c r="B15" s="173" t="s">
        <v>36</v>
      </c>
      <c r="C15" s="174">
        <v>400</v>
      </c>
      <c r="D15" s="175"/>
      <c r="E15" s="176">
        <f>C15/7.501</f>
        <v>53.326223170243964</v>
      </c>
    </row>
    <row r="16" spans="2:8" ht="8.1" customHeight="1" x14ac:dyDescent="0.4">
      <c r="B16" s="49"/>
      <c r="C16" s="49"/>
      <c r="D16" s="49"/>
      <c r="E16" s="49"/>
    </row>
    <row r="17" spans="2:5" ht="13" thickBot="1" x14ac:dyDescent="0.45">
      <c r="B17" s="171" t="s">
        <v>81</v>
      </c>
      <c r="C17" s="49"/>
      <c r="D17" s="49"/>
      <c r="E17" s="49"/>
    </row>
    <row r="18" spans="2:5" ht="15" x14ac:dyDescent="0.4">
      <c r="B18" s="49" t="s">
        <v>76</v>
      </c>
      <c r="C18" s="168">
        <v>122</v>
      </c>
      <c r="D18" s="49"/>
      <c r="E18" s="49"/>
    </row>
    <row r="19" spans="2:5" ht="15" x14ac:dyDescent="0.4">
      <c r="B19" s="49" t="s">
        <v>37</v>
      </c>
      <c r="C19" s="169">
        <v>30</v>
      </c>
      <c r="D19" s="49"/>
      <c r="E19" s="49"/>
    </row>
    <row r="20" spans="2:5" ht="15" x14ac:dyDescent="0.4">
      <c r="B20" s="171" t="s">
        <v>77</v>
      </c>
      <c r="C20" s="170">
        <f>C$18+1.6*((C$19-5.6)/5.6)</f>
        <v>128.97142857142856</v>
      </c>
      <c r="D20" s="172" t="s">
        <v>79</v>
      </c>
      <c r="E20" s="49"/>
    </row>
    <row r="21" spans="2:5" ht="15" x14ac:dyDescent="0.4">
      <c r="B21" s="171" t="s">
        <v>78</v>
      </c>
      <c r="C21" s="170">
        <f>C$18+2.4*((C$19-5.6)/5.6)</f>
        <v>132.45714285714286</v>
      </c>
      <c r="D21" s="172" t="s">
        <v>80</v>
      </c>
      <c r="E21" s="49"/>
    </row>
    <row r="22" spans="2:5" x14ac:dyDescent="0.4">
      <c r="B22" s="49"/>
      <c r="C22" s="49"/>
      <c r="D22" s="49"/>
      <c r="E22" s="49"/>
    </row>
    <row r="23" spans="2:5" x14ac:dyDescent="0.4">
      <c r="B23" s="49"/>
      <c r="C23" s="49"/>
      <c r="D23" s="49"/>
      <c r="E23" s="49"/>
    </row>
    <row r="24" spans="2:5" x14ac:dyDescent="0.4">
      <c r="B24" s="49"/>
      <c r="C24" s="49"/>
      <c r="D24" s="49"/>
      <c r="E24" s="49"/>
    </row>
    <row r="25" spans="2:5" x14ac:dyDescent="0.4">
      <c r="B25" s="49"/>
      <c r="C25" s="49"/>
      <c r="D25" s="49"/>
      <c r="E25" s="49"/>
    </row>
  </sheetData>
  <sheetProtection algorithmName="SHA-512" hashValue="CLD/5zvyOjqLC1C1JYqe24JGcI/h/tn2Db2yHWR+LmAiszPOgW8rqfFWL3azC7anLpzf1maMwnnsBQq3mZgQ7w==" saltValue="T498iJM9gEq1W/tG3KGV4Q==" spinCount="100000" sheet="1" objects="1" scenarios="1"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18"/>
  <sheetViews>
    <sheetView showGridLines="0" showRowColHeaders="0" tabSelected="1" zoomScale="115" zoomScaleNormal="115" workbookViewId="0">
      <selection activeCell="B5" sqref="B5"/>
    </sheetView>
  </sheetViews>
  <sheetFormatPr defaultRowHeight="12.7" x14ac:dyDescent="0.4"/>
  <cols>
    <col min="1" max="1" width="2.703125" customWidth="1"/>
    <col min="2" max="2" width="13.05859375" customWidth="1"/>
    <col min="3" max="3" width="17.64453125" customWidth="1"/>
  </cols>
  <sheetData>
    <row r="1" spans="2:3" ht="9.9499999999999993" customHeight="1" x14ac:dyDescent="0.4"/>
    <row r="2" spans="2:3" ht="19.7" x14ac:dyDescent="0.4">
      <c r="B2" s="281" t="s">
        <v>26</v>
      </c>
      <c r="C2" s="9"/>
    </row>
    <row r="3" spans="2:3" ht="19.7" x14ac:dyDescent="0.4">
      <c r="B3" s="281" t="s">
        <v>117</v>
      </c>
      <c r="C3" s="9"/>
    </row>
    <row r="4" spans="2:3" ht="5" customHeight="1" x14ac:dyDescent="0.4">
      <c r="B4" s="9"/>
      <c r="C4" s="9"/>
    </row>
    <row r="5" spans="2:3" ht="19.7" x14ac:dyDescent="0.4">
      <c r="B5" s="280">
        <v>125</v>
      </c>
      <c r="C5" s="279">
        <f t="shared" ref="C5" si="0">B5*5-400</f>
        <v>225</v>
      </c>
    </row>
    <row r="6" spans="2:3" ht="5" customHeight="1" thickBot="1" x14ac:dyDescent="0.45">
      <c r="B6" s="9"/>
      <c r="C6" s="9"/>
    </row>
    <row r="7" spans="2:3" ht="20" thickBot="1" x14ac:dyDescent="0.45">
      <c r="B7" s="272" t="s">
        <v>6</v>
      </c>
      <c r="C7" s="273" t="s">
        <v>27</v>
      </c>
    </row>
    <row r="8" spans="2:3" ht="19.7" x14ac:dyDescent="0.4">
      <c r="B8" s="274">
        <v>100</v>
      </c>
      <c r="C8" s="275">
        <f>B8*5-400</f>
        <v>100</v>
      </c>
    </row>
    <row r="9" spans="2:3" ht="19.7" x14ac:dyDescent="0.4">
      <c r="B9" s="276">
        <v>110</v>
      </c>
      <c r="C9" s="271">
        <f t="shared" ref="C9:C18" si="1">B9*5-400</f>
        <v>150</v>
      </c>
    </row>
    <row r="10" spans="2:3" ht="19.7" x14ac:dyDescent="0.4">
      <c r="B10" s="276">
        <v>120</v>
      </c>
      <c r="C10" s="271">
        <f t="shared" si="1"/>
        <v>200</v>
      </c>
    </row>
    <row r="11" spans="2:3" ht="19.7" x14ac:dyDescent="0.4">
      <c r="B11" s="276">
        <v>130</v>
      </c>
      <c r="C11" s="271">
        <f t="shared" si="1"/>
        <v>250</v>
      </c>
    </row>
    <row r="12" spans="2:3" ht="19.7" x14ac:dyDescent="0.4">
      <c r="B12" s="276">
        <v>140</v>
      </c>
      <c r="C12" s="271">
        <f t="shared" si="1"/>
        <v>300</v>
      </c>
    </row>
    <row r="13" spans="2:3" ht="19.7" x14ac:dyDescent="0.4">
      <c r="B13" s="276">
        <v>150</v>
      </c>
      <c r="C13" s="271">
        <f t="shared" si="1"/>
        <v>350</v>
      </c>
    </row>
    <row r="14" spans="2:3" ht="19.7" x14ac:dyDescent="0.4">
      <c r="B14" s="276">
        <v>160</v>
      </c>
      <c r="C14" s="271">
        <f t="shared" si="1"/>
        <v>400</v>
      </c>
    </row>
    <row r="15" spans="2:3" ht="19.7" x14ac:dyDescent="0.4">
      <c r="B15" s="276">
        <v>170</v>
      </c>
      <c r="C15" s="271">
        <f t="shared" si="1"/>
        <v>450</v>
      </c>
    </row>
    <row r="16" spans="2:3" ht="19.7" x14ac:dyDescent="0.4">
      <c r="B16" s="276">
        <v>180</v>
      </c>
      <c r="C16" s="271">
        <f t="shared" si="1"/>
        <v>500</v>
      </c>
    </row>
    <row r="17" spans="2:3" ht="19.7" x14ac:dyDescent="0.4">
      <c r="B17" s="276">
        <v>190</v>
      </c>
      <c r="C17" s="271">
        <f t="shared" si="1"/>
        <v>550</v>
      </c>
    </row>
    <row r="18" spans="2:3" ht="20" thickBot="1" x14ac:dyDescent="0.45">
      <c r="B18" s="277">
        <v>200</v>
      </c>
      <c r="C18" s="278">
        <f t="shared" si="1"/>
        <v>600</v>
      </c>
    </row>
  </sheetData>
  <sheetProtection algorithmName="SHA-512" hashValue="hZ0InyHilKxa+wWup+n6mE3rpN8dVn9FbzP+vhpBQXE1T2/iopMOzlCtqJ7+DNa4g3nDmo6Q51XD9pMeD0FwOA==" saltValue="Wliik1WYNOsPKiQOLJsMXw==" spinCount="100000" sheet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7"/>
  <sheetViews>
    <sheetView showGridLines="0" zoomScaleNormal="100" workbookViewId="0">
      <pane xSplit="3" ySplit="1" topLeftCell="N2" activePane="bottomRight" state="frozen"/>
      <selection pane="topRight" activeCell="D1" sqref="D1"/>
      <selection pane="bottomLeft" activeCell="A2" sqref="A2"/>
      <selection pane="bottomRight" activeCell="C26" sqref="C26"/>
    </sheetView>
  </sheetViews>
  <sheetFormatPr defaultColWidth="12.9375" defaultRowHeight="15" x14ac:dyDescent="0.4"/>
  <cols>
    <col min="1" max="1" width="4.17578125" style="20" customWidth="1"/>
    <col min="2" max="2" width="7.8203125" style="20" customWidth="1"/>
    <col min="3" max="3" width="7.8203125" style="21" customWidth="1"/>
    <col min="4" max="25" width="5.9375" style="20" customWidth="1"/>
    <col min="26" max="16384" width="12.9375" style="20"/>
  </cols>
  <sheetData>
    <row r="1" spans="1:25" ht="8.1" customHeight="1" thickBot="1" x14ac:dyDescent="0.45">
      <c r="J1" s="265"/>
      <c r="K1" s="266"/>
      <c r="L1" s="266"/>
      <c r="M1" s="266"/>
      <c r="N1" s="266"/>
      <c r="O1" s="266"/>
    </row>
    <row r="2" spans="1:25" ht="20.100000000000001" customHeight="1" x14ac:dyDescent="0.4">
      <c r="B2" s="22"/>
      <c r="C2" s="23" t="s">
        <v>7</v>
      </c>
      <c r="D2" s="24">
        <v>43</v>
      </c>
      <c r="E2" s="25">
        <v>46</v>
      </c>
      <c r="F2" s="24">
        <v>49</v>
      </c>
      <c r="G2" s="25">
        <v>52</v>
      </c>
      <c r="H2" s="24">
        <v>55</v>
      </c>
      <c r="I2" s="25">
        <v>58</v>
      </c>
      <c r="J2" s="24">
        <v>61</v>
      </c>
      <c r="K2" s="25">
        <v>64</v>
      </c>
      <c r="L2" s="24">
        <v>67</v>
      </c>
      <c r="M2" s="25">
        <v>70</v>
      </c>
      <c r="N2" s="24">
        <v>73</v>
      </c>
      <c r="O2" s="25">
        <v>76</v>
      </c>
      <c r="P2" s="24">
        <v>79</v>
      </c>
      <c r="Q2" s="25">
        <v>82</v>
      </c>
      <c r="R2" s="24">
        <v>85</v>
      </c>
      <c r="S2" s="25">
        <v>88</v>
      </c>
      <c r="T2" s="24">
        <v>91</v>
      </c>
      <c r="U2" s="25">
        <v>94</v>
      </c>
      <c r="V2" s="24">
        <v>97</v>
      </c>
      <c r="W2" s="25">
        <v>100</v>
      </c>
      <c r="X2" s="24">
        <v>105</v>
      </c>
      <c r="Y2" s="26">
        <v>110</v>
      </c>
    </row>
    <row r="3" spans="1:25" ht="20.100000000000001" customHeight="1" thickBot="1" x14ac:dyDescent="0.45">
      <c r="B3" s="27" t="s">
        <v>6</v>
      </c>
      <c r="C3" s="28"/>
      <c r="D3" s="29" t="str">
        <f t="shared" ref="D3:Y3" si="0">IF(2:2&gt;0,IF(2:2&gt;7,TEXT(INT(2:2/6.35),"0")&amp;"'"&amp;TEXT(MOD(2:2,6.35)*2.2,"0"),TEXT(INT(2:2*2.2),"0")&amp;" lb "&amp;TEXT(MOD(2:2,0.455)*35.2,"0")),"")</f>
        <v>6'11</v>
      </c>
      <c r="E3" s="29" t="str">
        <f t="shared" si="0"/>
        <v>7'3</v>
      </c>
      <c r="F3" s="29" t="str">
        <f t="shared" si="0"/>
        <v>7'10</v>
      </c>
      <c r="G3" s="29" t="str">
        <f t="shared" si="0"/>
        <v>8'3</v>
      </c>
      <c r="H3" s="29" t="str">
        <f t="shared" si="0"/>
        <v>8'9</v>
      </c>
      <c r="I3" s="29" t="str">
        <f t="shared" si="0"/>
        <v>9'2</v>
      </c>
      <c r="J3" s="29" t="str">
        <f t="shared" si="0"/>
        <v>9'8</v>
      </c>
      <c r="K3" s="29" t="str">
        <f t="shared" si="0"/>
        <v>10'1</v>
      </c>
      <c r="L3" s="29" t="str">
        <f t="shared" si="0"/>
        <v>10'8</v>
      </c>
      <c r="M3" s="29" t="str">
        <f t="shared" si="0"/>
        <v>11'0</v>
      </c>
      <c r="N3" s="29" t="str">
        <f t="shared" si="0"/>
        <v>11'7</v>
      </c>
      <c r="O3" s="29" t="str">
        <f t="shared" si="0"/>
        <v>11'14</v>
      </c>
      <c r="P3" s="29" t="str">
        <f t="shared" si="0"/>
        <v>12'6</v>
      </c>
      <c r="Q3" s="29" t="str">
        <f t="shared" si="0"/>
        <v>12'13</v>
      </c>
      <c r="R3" s="29" t="str">
        <f t="shared" si="0"/>
        <v>13'5</v>
      </c>
      <c r="S3" s="29" t="str">
        <f t="shared" si="0"/>
        <v>13'12</v>
      </c>
      <c r="T3" s="29" t="str">
        <f t="shared" si="0"/>
        <v>14'5</v>
      </c>
      <c r="U3" s="29" t="str">
        <f t="shared" si="0"/>
        <v>14'11</v>
      </c>
      <c r="V3" s="29" t="str">
        <f t="shared" si="0"/>
        <v>15'4</v>
      </c>
      <c r="W3" s="29" t="str">
        <f t="shared" si="0"/>
        <v>15'10</v>
      </c>
      <c r="X3" s="29" t="str">
        <f t="shared" si="0"/>
        <v>16'7</v>
      </c>
      <c r="Y3" s="30" t="str">
        <f t="shared" si="0"/>
        <v>17'5</v>
      </c>
    </row>
    <row r="4" spans="1:25" ht="20.100000000000001" customHeight="1" x14ac:dyDescent="0.4">
      <c r="B4" s="31">
        <v>1.42</v>
      </c>
      <c r="C4" s="32" t="str">
        <f t="shared" ref="C4:C24" si="1">IF(B:B&gt;0,TEXT(INT(B:B/0.3048),"0")&amp;"'"&amp;TEXT((MOD(B:B,0.3048)/0.0254),"0"),"")</f>
        <v>4'8</v>
      </c>
      <c r="D4" s="33">
        <f t="shared" ref="D4:M13" si="2">$2:$2/($B:$B)^2</f>
        <v>21.325133902003572</v>
      </c>
      <c r="E4" s="34">
        <f t="shared" si="2"/>
        <v>22.812933941678239</v>
      </c>
      <c r="F4" s="34">
        <f t="shared" si="2"/>
        <v>24.300733981352906</v>
      </c>
      <c r="G4" s="34">
        <f t="shared" si="2"/>
        <v>25.788534021027573</v>
      </c>
      <c r="H4" s="34">
        <f t="shared" si="2"/>
        <v>27.276334060702244</v>
      </c>
      <c r="I4" s="34">
        <f t="shared" si="2"/>
        <v>28.764134100376911</v>
      </c>
      <c r="J4" s="34">
        <f t="shared" si="2"/>
        <v>30.251934140051578</v>
      </c>
      <c r="K4" s="34">
        <f t="shared" si="2"/>
        <v>31.739734179726245</v>
      </c>
      <c r="L4" s="34">
        <f t="shared" si="2"/>
        <v>33.227534219400916</v>
      </c>
      <c r="M4" s="34">
        <f t="shared" si="2"/>
        <v>34.715334259075583</v>
      </c>
      <c r="N4" s="34">
        <f t="shared" ref="N4:Y13" si="3">$2:$2/($B:$B)^2</f>
        <v>36.20313429875025</v>
      </c>
      <c r="O4" s="34">
        <f t="shared" si="3"/>
        <v>37.690934338424917</v>
      </c>
      <c r="P4" s="34">
        <f t="shared" si="3"/>
        <v>39.178734378099584</v>
      </c>
      <c r="Q4" s="34">
        <f t="shared" si="3"/>
        <v>40.666534417774251</v>
      </c>
      <c r="R4" s="34">
        <f t="shared" si="3"/>
        <v>42.154334457448918</v>
      </c>
      <c r="S4" s="34">
        <f t="shared" si="3"/>
        <v>43.642134497123585</v>
      </c>
      <c r="T4" s="34">
        <f t="shared" si="3"/>
        <v>45.129934536798253</v>
      </c>
      <c r="U4" s="34">
        <f t="shared" si="3"/>
        <v>46.61773457647292</v>
      </c>
      <c r="V4" s="34">
        <f t="shared" si="3"/>
        <v>48.105534616147594</v>
      </c>
      <c r="W4" s="34">
        <f t="shared" si="3"/>
        <v>49.593334655822261</v>
      </c>
      <c r="X4" s="34">
        <f t="shared" si="3"/>
        <v>52.07300138861337</v>
      </c>
      <c r="Y4" s="35">
        <f t="shared" si="3"/>
        <v>54.552668121404487</v>
      </c>
    </row>
    <row r="5" spans="1:25" ht="20.100000000000001" customHeight="1" x14ac:dyDescent="0.4">
      <c r="B5" s="36">
        <v>1.45</v>
      </c>
      <c r="C5" s="32" t="str">
        <f t="shared" si="1"/>
        <v>4'9</v>
      </c>
      <c r="D5" s="33">
        <f t="shared" si="2"/>
        <v>20.451843043995243</v>
      </c>
      <c r="E5" s="34">
        <f t="shared" si="2"/>
        <v>21.878715814506538</v>
      </c>
      <c r="F5" s="34">
        <f t="shared" si="2"/>
        <v>23.305588585017837</v>
      </c>
      <c r="G5" s="34">
        <f t="shared" si="2"/>
        <v>24.732461355529132</v>
      </c>
      <c r="H5" s="34">
        <f t="shared" si="2"/>
        <v>26.159334126040427</v>
      </c>
      <c r="I5" s="34">
        <f t="shared" si="2"/>
        <v>27.586206896551722</v>
      </c>
      <c r="J5" s="34">
        <f t="shared" si="2"/>
        <v>29.013079667063021</v>
      </c>
      <c r="K5" s="34">
        <f t="shared" si="2"/>
        <v>30.439952437574316</v>
      </c>
      <c r="L5" s="34">
        <f t="shared" si="2"/>
        <v>31.866825208085611</v>
      </c>
      <c r="M5" s="34">
        <f t="shared" si="2"/>
        <v>33.29369797859691</v>
      </c>
      <c r="N5" s="34">
        <f t="shared" si="3"/>
        <v>34.720570749108205</v>
      </c>
      <c r="O5" s="34">
        <f t="shared" si="3"/>
        <v>36.1474435196195</v>
      </c>
      <c r="P5" s="34">
        <f t="shared" si="3"/>
        <v>37.574316290130795</v>
      </c>
      <c r="Q5" s="34">
        <f t="shared" si="3"/>
        <v>39.001189060642091</v>
      </c>
      <c r="R5" s="34">
        <f t="shared" si="3"/>
        <v>40.428061831153386</v>
      </c>
      <c r="S5" s="34">
        <f t="shared" si="3"/>
        <v>41.854934601664681</v>
      </c>
      <c r="T5" s="34">
        <f t="shared" si="3"/>
        <v>43.281807372175983</v>
      </c>
      <c r="U5" s="34">
        <f t="shared" si="3"/>
        <v>44.708680142687278</v>
      </c>
      <c r="V5" s="34">
        <f t="shared" si="3"/>
        <v>46.135552913198573</v>
      </c>
      <c r="W5" s="34">
        <f t="shared" si="3"/>
        <v>47.562425683709868</v>
      </c>
      <c r="X5" s="34">
        <f t="shared" si="3"/>
        <v>49.940546967895365</v>
      </c>
      <c r="Y5" s="35">
        <f t="shared" si="3"/>
        <v>52.318668252080855</v>
      </c>
    </row>
    <row r="6" spans="1:25" ht="20.100000000000001" customHeight="1" x14ac:dyDescent="0.4">
      <c r="B6" s="36">
        <f t="shared" ref="B6:B24" si="4">B5+0.0254</f>
        <v>1.4754</v>
      </c>
      <c r="C6" s="32" t="str">
        <f t="shared" si="1"/>
        <v>4'10</v>
      </c>
      <c r="D6" s="33">
        <f t="shared" si="2"/>
        <v>19.75372017218114</v>
      </c>
      <c r="E6" s="34">
        <f t="shared" si="2"/>
        <v>21.131886695821684</v>
      </c>
      <c r="F6" s="34">
        <f t="shared" si="2"/>
        <v>22.510053219462229</v>
      </c>
      <c r="G6" s="34">
        <f t="shared" si="2"/>
        <v>23.888219743102773</v>
      </c>
      <c r="H6" s="34">
        <f t="shared" si="2"/>
        <v>25.266386266743318</v>
      </c>
      <c r="I6" s="34">
        <f t="shared" si="2"/>
        <v>26.644552790383862</v>
      </c>
      <c r="J6" s="34">
        <f t="shared" si="2"/>
        <v>28.02271931402441</v>
      </c>
      <c r="K6" s="34">
        <f t="shared" si="2"/>
        <v>29.400885837664955</v>
      </c>
      <c r="L6" s="34">
        <f t="shared" si="2"/>
        <v>30.779052361305499</v>
      </c>
      <c r="M6" s="34">
        <f t="shared" si="2"/>
        <v>32.15721888494604</v>
      </c>
      <c r="N6" s="34">
        <f t="shared" si="3"/>
        <v>33.535385408586585</v>
      </c>
      <c r="O6" s="34">
        <f t="shared" si="3"/>
        <v>34.913551932227129</v>
      </c>
      <c r="P6" s="34">
        <f t="shared" si="3"/>
        <v>36.291718455867674</v>
      </c>
      <c r="Q6" s="34">
        <f t="shared" si="3"/>
        <v>37.669884979508218</v>
      </c>
      <c r="R6" s="34">
        <f t="shared" si="3"/>
        <v>39.04805150314877</v>
      </c>
      <c r="S6" s="34">
        <f t="shared" si="3"/>
        <v>40.426218026789314</v>
      </c>
      <c r="T6" s="34">
        <f t="shared" si="3"/>
        <v>41.804384550429859</v>
      </c>
      <c r="U6" s="34">
        <f t="shared" si="3"/>
        <v>43.182551074070403</v>
      </c>
      <c r="V6" s="34">
        <f t="shared" si="3"/>
        <v>44.560717597710948</v>
      </c>
      <c r="W6" s="34">
        <f t="shared" si="3"/>
        <v>45.938884121351492</v>
      </c>
      <c r="X6" s="34">
        <f t="shared" si="3"/>
        <v>48.235828327419064</v>
      </c>
      <c r="Y6" s="35">
        <f t="shared" si="3"/>
        <v>50.532772533486636</v>
      </c>
    </row>
    <row r="7" spans="1:25" ht="20.100000000000001" customHeight="1" x14ac:dyDescent="0.4">
      <c r="B7" s="36">
        <f t="shared" si="4"/>
        <v>1.5008000000000001</v>
      </c>
      <c r="C7" s="32" t="str">
        <f t="shared" si="1"/>
        <v>4'11</v>
      </c>
      <c r="D7" s="33">
        <f t="shared" si="2"/>
        <v>19.090742222484891</v>
      </c>
      <c r="E7" s="34">
        <f t="shared" si="2"/>
        <v>20.422654470565234</v>
      </c>
      <c r="F7" s="34">
        <f t="shared" si="2"/>
        <v>21.754566718645574</v>
      </c>
      <c r="G7" s="34">
        <f t="shared" si="2"/>
        <v>23.086478966725917</v>
      </c>
      <c r="H7" s="34">
        <f t="shared" si="2"/>
        <v>24.41839121480626</v>
      </c>
      <c r="I7" s="34">
        <f t="shared" si="2"/>
        <v>25.750303462886599</v>
      </c>
      <c r="J7" s="34">
        <f t="shared" si="2"/>
        <v>27.082215710966942</v>
      </c>
      <c r="K7" s="34">
        <f t="shared" si="2"/>
        <v>28.414127959047281</v>
      </c>
      <c r="L7" s="34">
        <f t="shared" si="2"/>
        <v>29.746040207127624</v>
      </c>
      <c r="M7" s="34">
        <f t="shared" si="2"/>
        <v>31.077952455207964</v>
      </c>
      <c r="N7" s="34">
        <f t="shared" si="3"/>
        <v>32.409864703288306</v>
      </c>
      <c r="O7" s="34">
        <f t="shared" si="3"/>
        <v>33.741776951368649</v>
      </c>
      <c r="P7" s="34">
        <f t="shared" si="3"/>
        <v>35.073689199448985</v>
      </c>
      <c r="Q7" s="34">
        <f t="shared" si="3"/>
        <v>36.405601447529328</v>
      </c>
      <c r="R7" s="34">
        <f t="shared" si="3"/>
        <v>37.737513695609671</v>
      </c>
      <c r="S7" s="34">
        <f t="shared" si="3"/>
        <v>39.069425943690014</v>
      </c>
      <c r="T7" s="34">
        <f t="shared" si="3"/>
        <v>40.401338191770357</v>
      </c>
      <c r="U7" s="34">
        <f t="shared" si="3"/>
        <v>41.733250439850693</v>
      </c>
      <c r="V7" s="34">
        <f t="shared" si="3"/>
        <v>43.065162687931036</v>
      </c>
      <c r="W7" s="34">
        <f t="shared" si="3"/>
        <v>44.397074936011379</v>
      </c>
      <c r="X7" s="34">
        <f t="shared" si="3"/>
        <v>46.616928682811945</v>
      </c>
      <c r="Y7" s="35">
        <f t="shared" si="3"/>
        <v>48.836782429612519</v>
      </c>
    </row>
    <row r="8" spans="1:25" ht="20.100000000000001" customHeight="1" x14ac:dyDescent="0.4">
      <c r="B8" s="36">
        <f t="shared" si="4"/>
        <v>1.5262000000000002</v>
      </c>
      <c r="C8" s="32" t="str">
        <f t="shared" si="1"/>
        <v>5'0</v>
      </c>
      <c r="D8" s="33">
        <f t="shared" si="2"/>
        <v>18.460589157939712</v>
      </c>
      <c r="E8" s="34">
        <f t="shared" si="2"/>
        <v>19.748537238726204</v>
      </c>
      <c r="F8" s="34">
        <f t="shared" si="2"/>
        <v>21.036485319512696</v>
      </c>
      <c r="G8" s="34">
        <f t="shared" si="2"/>
        <v>22.324433400299185</v>
      </c>
      <c r="H8" s="34">
        <f t="shared" si="2"/>
        <v>23.612381481085677</v>
      </c>
      <c r="I8" s="34">
        <f t="shared" si="2"/>
        <v>24.900329561872169</v>
      </c>
      <c r="J8" s="34">
        <f t="shared" si="2"/>
        <v>26.188277642658662</v>
      </c>
      <c r="K8" s="34">
        <f t="shared" si="2"/>
        <v>27.47622572344515</v>
      </c>
      <c r="L8" s="34">
        <f t="shared" si="2"/>
        <v>28.764173804231643</v>
      </c>
      <c r="M8" s="34">
        <f t="shared" si="2"/>
        <v>30.052121885018135</v>
      </c>
      <c r="N8" s="34">
        <f t="shared" si="3"/>
        <v>31.340069965804627</v>
      </c>
      <c r="O8" s="34">
        <f t="shared" si="3"/>
        <v>32.628018046591116</v>
      </c>
      <c r="P8" s="34">
        <f t="shared" si="3"/>
        <v>33.915966127377608</v>
      </c>
      <c r="Q8" s="34">
        <f t="shared" si="3"/>
        <v>35.2039142081641</v>
      </c>
      <c r="R8" s="34">
        <f t="shared" si="3"/>
        <v>36.491862288950593</v>
      </c>
      <c r="S8" s="34">
        <f t="shared" si="3"/>
        <v>37.779810369737085</v>
      </c>
      <c r="T8" s="34">
        <f t="shared" si="3"/>
        <v>39.067758450523577</v>
      </c>
      <c r="U8" s="34">
        <f t="shared" si="3"/>
        <v>40.355706531310069</v>
      </c>
      <c r="V8" s="34">
        <f t="shared" si="3"/>
        <v>41.643654612096562</v>
      </c>
      <c r="W8" s="34">
        <f t="shared" si="3"/>
        <v>42.931602692883047</v>
      </c>
      <c r="X8" s="34">
        <f t="shared" si="3"/>
        <v>45.078182827527201</v>
      </c>
      <c r="Y8" s="35">
        <f t="shared" si="3"/>
        <v>47.224762962171354</v>
      </c>
    </row>
    <row r="9" spans="1:25" ht="20.100000000000001" customHeight="1" x14ac:dyDescent="0.4">
      <c r="B9" s="36">
        <f t="shared" si="4"/>
        <v>1.5516000000000003</v>
      </c>
      <c r="C9" s="32" t="str">
        <f t="shared" si="1"/>
        <v>5'1</v>
      </c>
      <c r="D9" s="33">
        <f t="shared" si="2"/>
        <v>17.86112927131045</v>
      </c>
      <c r="E9" s="34">
        <f t="shared" si="2"/>
        <v>19.10725456930885</v>
      </c>
      <c r="F9" s="34">
        <f t="shared" si="2"/>
        <v>20.353379867307254</v>
      </c>
      <c r="G9" s="34">
        <f t="shared" si="2"/>
        <v>21.599505165305658</v>
      </c>
      <c r="H9" s="34">
        <f t="shared" si="2"/>
        <v>22.845630463304062</v>
      </c>
      <c r="I9" s="34">
        <f t="shared" si="2"/>
        <v>24.091755761302466</v>
      </c>
      <c r="J9" s="34">
        <f t="shared" si="2"/>
        <v>25.337881059300869</v>
      </c>
      <c r="K9" s="34">
        <f t="shared" si="2"/>
        <v>26.58400635729927</v>
      </c>
      <c r="L9" s="34">
        <f t="shared" si="2"/>
        <v>27.830131655297674</v>
      </c>
      <c r="M9" s="34">
        <f t="shared" si="2"/>
        <v>29.076256953296078</v>
      </c>
      <c r="N9" s="34">
        <f t="shared" si="3"/>
        <v>30.322382251294481</v>
      </c>
      <c r="O9" s="34">
        <f t="shared" si="3"/>
        <v>31.568507549292885</v>
      </c>
      <c r="P9" s="34">
        <f t="shared" si="3"/>
        <v>32.814632847291286</v>
      </c>
      <c r="Q9" s="34">
        <f t="shared" si="3"/>
        <v>34.060758145289689</v>
      </c>
      <c r="R9" s="34">
        <f t="shared" si="3"/>
        <v>35.306883443288093</v>
      </c>
      <c r="S9" s="34">
        <f t="shared" si="3"/>
        <v>36.553008741286497</v>
      </c>
      <c r="T9" s="34">
        <f t="shared" si="3"/>
        <v>37.799134039284901</v>
      </c>
      <c r="U9" s="34">
        <f t="shared" si="3"/>
        <v>39.045259337283305</v>
      </c>
      <c r="V9" s="34">
        <f t="shared" si="3"/>
        <v>40.291384635281709</v>
      </c>
      <c r="W9" s="34">
        <f t="shared" si="3"/>
        <v>41.537509933280113</v>
      </c>
      <c r="X9" s="34">
        <f t="shared" si="3"/>
        <v>43.614385429944114</v>
      </c>
      <c r="Y9" s="35">
        <f t="shared" si="3"/>
        <v>45.691260926608123</v>
      </c>
    </row>
    <row r="10" spans="1:25" ht="20.100000000000001" customHeight="1" x14ac:dyDescent="0.4">
      <c r="A10" s="267"/>
      <c r="B10" s="36">
        <f t="shared" si="4"/>
        <v>1.5770000000000004</v>
      </c>
      <c r="C10" s="32" t="str">
        <f t="shared" si="1"/>
        <v>5'2</v>
      </c>
      <c r="D10" s="33">
        <f t="shared" si="2"/>
        <v>17.290401133285261</v>
      </c>
      <c r="E10" s="34">
        <f t="shared" si="2"/>
        <v>18.496708189095859</v>
      </c>
      <c r="F10" s="34">
        <f t="shared" si="2"/>
        <v>19.70301524490646</v>
      </c>
      <c r="G10" s="34">
        <f t="shared" si="2"/>
        <v>20.909322300717058</v>
      </c>
      <c r="H10" s="34">
        <f t="shared" si="2"/>
        <v>22.115629356527659</v>
      </c>
      <c r="I10" s="34">
        <f t="shared" si="2"/>
        <v>23.321936412338257</v>
      </c>
      <c r="J10" s="34">
        <f t="shared" si="2"/>
        <v>24.528243468148858</v>
      </c>
      <c r="K10" s="34">
        <f t="shared" si="2"/>
        <v>25.734550523959456</v>
      </c>
      <c r="L10" s="34">
        <f t="shared" si="2"/>
        <v>26.940857579770057</v>
      </c>
      <c r="M10" s="34">
        <f t="shared" si="2"/>
        <v>28.147164635580655</v>
      </c>
      <c r="N10" s="34">
        <f t="shared" si="3"/>
        <v>29.353471691391256</v>
      </c>
      <c r="O10" s="34">
        <f t="shared" si="3"/>
        <v>30.559778747201854</v>
      </c>
      <c r="P10" s="34">
        <f t="shared" si="3"/>
        <v>31.766085803012455</v>
      </c>
      <c r="Q10" s="34">
        <f t="shared" si="3"/>
        <v>32.972392858823056</v>
      </c>
      <c r="R10" s="34">
        <f t="shared" si="3"/>
        <v>34.178699914633654</v>
      </c>
      <c r="S10" s="34">
        <f t="shared" si="3"/>
        <v>35.385006970444252</v>
      </c>
      <c r="T10" s="34">
        <f t="shared" si="3"/>
        <v>36.59131402625485</v>
      </c>
      <c r="U10" s="34">
        <f t="shared" si="3"/>
        <v>37.797621082065454</v>
      </c>
      <c r="V10" s="34">
        <f t="shared" si="3"/>
        <v>39.003928137876052</v>
      </c>
      <c r="W10" s="34">
        <f t="shared" si="3"/>
        <v>40.21023519368665</v>
      </c>
      <c r="X10" s="34">
        <f t="shared" si="3"/>
        <v>42.220746953370984</v>
      </c>
      <c r="Y10" s="35">
        <f t="shared" si="3"/>
        <v>44.231258713055318</v>
      </c>
    </row>
    <row r="11" spans="1:25" ht="20.100000000000001" customHeight="1" x14ac:dyDescent="0.4">
      <c r="A11" s="268"/>
      <c r="B11" s="36">
        <f t="shared" si="4"/>
        <v>1.6024000000000005</v>
      </c>
      <c r="C11" s="32" t="str">
        <f t="shared" si="1"/>
        <v>5'3</v>
      </c>
      <c r="D11" s="33">
        <f t="shared" si="2"/>
        <v>16.746597527572835</v>
      </c>
      <c r="E11" s="34">
        <f t="shared" si="2"/>
        <v>17.914964796938381</v>
      </c>
      <c r="F11" s="34">
        <f t="shared" si="2"/>
        <v>19.083332066303928</v>
      </c>
      <c r="G11" s="34">
        <f t="shared" si="2"/>
        <v>20.251699335669475</v>
      </c>
      <c r="H11" s="34">
        <f t="shared" si="2"/>
        <v>21.420066605035021</v>
      </c>
      <c r="I11" s="34">
        <f t="shared" si="2"/>
        <v>22.588433874400568</v>
      </c>
      <c r="J11" s="34">
        <f t="shared" si="2"/>
        <v>23.756801143766115</v>
      </c>
      <c r="K11" s="34">
        <f t="shared" si="2"/>
        <v>24.925168413131662</v>
      </c>
      <c r="L11" s="34">
        <f t="shared" si="2"/>
        <v>26.093535682497208</v>
      </c>
      <c r="M11" s="34">
        <f t="shared" si="2"/>
        <v>27.261902951862751</v>
      </c>
      <c r="N11" s="34">
        <f t="shared" si="3"/>
        <v>28.430270221228298</v>
      </c>
      <c r="O11" s="34">
        <f t="shared" si="3"/>
        <v>29.598637490593845</v>
      </c>
      <c r="P11" s="34">
        <f t="shared" si="3"/>
        <v>30.767004759959391</v>
      </c>
      <c r="Q11" s="34">
        <f t="shared" si="3"/>
        <v>31.935372029324938</v>
      </c>
      <c r="R11" s="34">
        <f t="shared" si="3"/>
        <v>33.103739298690485</v>
      </c>
      <c r="S11" s="34">
        <f t="shared" si="3"/>
        <v>34.272106568056032</v>
      </c>
      <c r="T11" s="34">
        <f t="shared" si="3"/>
        <v>35.440473837421578</v>
      </c>
      <c r="U11" s="34">
        <f t="shared" si="3"/>
        <v>36.608841106787125</v>
      </c>
      <c r="V11" s="34">
        <f t="shared" si="3"/>
        <v>37.777208376152672</v>
      </c>
      <c r="W11" s="34">
        <f t="shared" si="3"/>
        <v>38.945575645518218</v>
      </c>
      <c r="X11" s="34">
        <f t="shared" si="3"/>
        <v>40.892854427794127</v>
      </c>
      <c r="Y11" s="35">
        <f t="shared" si="3"/>
        <v>42.840133210070043</v>
      </c>
    </row>
    <row r="12" spans="1:25" ht="20.100000000000001" customHeight="1" x14ac:dyDescent="0.4">
      <c r="A12" s="268"/>
      <c r="B12" s="36">
        <f t="shared" si="4"/>
        <v>1.6278000000000006</v>
      </c>
      <c r="C12" s="32" t="str">
        <f t="shared" si="1"/>
        <v>5'4</v>
      </c>
      <c r="D12" s="33">
        <f t="shared" si="2"/>
        <v>16.228051126844914</v>
      </c>
      <c r="E12" s="34">
        <f t="shared" si="2"/>
        <v>17.36024074034572</v>
      </c>
      <c r="F12" s="34">
        <f t="shared" si="2"/>
        <v>18.49243035384653</v>
      </c>
      <c r="G12" s="34">
        <f t="shared" si="2"/>
        <v>19.624619967347336</v>
      </c>
      <c r="H12" s="34">
        <f t="shared" si="2"/>
        <v>20.756809580848145</v>
      </c>
      <c r="I12" s="34">
        <f t="shared" si="2"/>
        <v>21.888999194348951</v>
      </c>
      <c r="J12" s="34">
        <f t="shared" si="2"/>
        <v>23.021188807849761</v>
      </c>
      <c r="K12" s="34">
        <f t="shared" si="2"/>
        <v>24.153378421350567</v>
      </c>
      <c r="L12" s="34">
        <f t="shared" si="2"/>
        <v>25.285568034851376</v>
      </c>
      <c r="M12" s="34">
        <f t="shared" si="2"/>
        <v>26.417757648352183</v>
      </c>
      <c r="N12" s="34">
        <f t="shared" si="3"/>
        <v>27.549947261852992</v>
      </c>
      <c r="O12" s="34">
        <f t="shared" si="3"/>
        <v>28.682136875353798</v>
      </c>
      <c r="P12" s="34">
        <f t="shared" si="3"/>
        <v>29.814326488854608</v>
      </c>
      <c r="Q12" s="34">
        <f t="shared" si="3"/>
        <v>30.946516102355414</v>
      </c>
      <c r="R12" s="34">
        <f t="shared" si="3"/>
        <v>32.078705715856223</v>
      </c>
      <c r="S12" s="34">
        <f t="shared" si="3"/>
        <v>33.210895329357029</v>
      </c>
      <c r="T12" s="34">
        <f t="shared" si="3"/>
        <v>34.343084942857843</v>
      </c>
      <c r="U12" s="34">
        <f t="shared" si="3"/>
        <v>35.475274556358649</v>
      </c>
      <c r="V12" s="34">
        <f t="shared" si="3"/>
        <v>36.607464169859455</v>
      </c>
      <c r="W12" s="34">
        <f t="shared" si="3"/>
        <v>37.739653783360261</v>
      </c>
      <c r="X12" s="34">
        <f t="shared" si="3"/>
        <v>39.626636472528276</v>
      </c>
      <c r="Y12" s="35">
        <f t="shared" si="3"/>
        <v>41.51361916169629</v>
      </c>
    </row>
    <row r="13" spans="1:25" ht="20.100000000000001" customHeight="1" x14ac:dyDescent="0.4">
      <c r="A13" s="268"/>
      <c r="B13" s="36">
        <f t="shared" si="4"/>
        <v>1.6532000000000007</v>
      </c>
      <c r="C13" s="32" t="str">
        <f t="shared" si="1"/>
        <v>5'5</v>
      </c>
      <c r="D13" s="33">
        <f t="shared" si="2"/>
        <v>15.733221697222083</v>
      </c>
      <c r="E13" s="34">
        <f t="shared" si="2"/>
        <v>16.830888327260833</v>
      </c>
      <c r="F13" s="34">
        <f t="shared" si="2"/>
        <v>17.928554957299582</v>
      </c>
      <c r="G13" s="34">
        <f t="shared" si="2"/>
        <v>19.026221587338334</v>
      </c>
      <c r="H13" s="34">
        <f t="shared" si="2"/>
        <v>20.123888217377083</v>
      </c>
      <c r="I13" s="34">
        <f t="shared" si="2"/>
        <v>21.221554847415831</v>
      </c>
      <c r="J13" s="34">
        <f t="shared" si="2"/>
        <v>22.319221477454583</v>
      </c>
      <c r="K13" s="34">
        <f t="shared" si="2"/>
        <v>23.416888107493332</v>
      </c>
      <c r="L13" s="34">
        <f t="shared" si="2"/>
        <v>24.514554737532084</v>
      </c>
      <c r="M13" s="34">
        <f t="shared" si="2"/>
        <v>25.612221367570832</v>
      </c>
      <c r="N13" s="34">
        <f t="shared" si="3"/>
        <v>26.709887997609581</v>
      </c>
      <c r="O13" s="34">
        <f t="shared" si="3"/>
        <v>27.807554627648333</v>
      </c>
      <c r="P13" s="34">
        <f t="shared" si="3"/>
        <v>28.905221257687082</v>
      </c>
      <c r="Q13" s="34">
        <f t="shared" si="3"/>
        <v>30.002887887725834</v>
      </c>
      <c r="R13" s="34">
        <f t="shared" si="3"/>
        <v>31.100554517764582</v>
      </c>
      <c r="S13" s="34">
        <f t="shared" si="3"/>
        <v>32.198221147803331</v>
      </c>
      <c r="T13" s="34">
        <f t="shared" si="3"/>
        <v>33.295887777842083</v>
      </c>
      <c r="U13" s="34">
        <f t="shared" si="3"/>
        <v>34.393554407880835</v>
      </c>
      <c r="V13" s="34">
        <f t="shared" si="3"/>
        <v>35.49122103791958</v>
      </c>
      <c r="W13" s="34">
        <f t="shared" si="3"/>
        <v>36.588887667958332</v>
      </c>
      <c r="X13" s="34">
        <f t="shared" si="3"/>
        <v>38.418332051356252</v>
      </c>
      <c r="Y13" s="35">
        <f t="shared" si="3"/>
        <v>40.247776434754165</v>
      </c>
    </row>
    <row r="14" spans="1:25" ht="20.100000000000001" customHeight="1" x14ac:dyDescent="0.4">
      <c r="A14" s="268"/>
      <c r="B14" s="36">
        <f t="shared" si="4"/>
        <v>1.6786000000000008</v>
      </c>
      <c r="C14" s="32" t="str">
        <f t="shared" si="1"/>
        <v>5'6</v>
      </c>
      <c r="D14" s="33">
        <f t="shared" ref="D14:M24" si="5">$2:$2/($B:$B)^2</f>
        <v>15.260684647690189</v>
      </c>
      <c r="E14" s="34">
        <f t="shared" si="5"/>
        <v>16.325383576598806</v>
      </c>
      <c r="F14" s="34">
        <f t="shared" si="5"/>
        <v>17.390082505507422</v>
      </c>
      <c r="G14" s="34">
        <f t="shared" si="5"/>
        <v>18.454781434416041</v>
      </c>
      <c r="H14" s="34">
        <f t="shared" si="5"/>
        <v>19.519480363324661</v>
      </c>
      <c r="I14" s="34">
        <f t="shared" si="5"/>
        <v>20.584179292233276</v>
      </c>
      <c r="J14" s="34">
        <f t="shared" si="5"/>
        <v>21.648878221141896</v>
      </c>
      <c r="K14" s="34">
        <f t="shared" si="5"/>
        <v>22.713577150050511</v>
      </c>
      <c r="L14" s="34">
        <f t="shared" si="5"/>
        <v>23.778276078959131</v>
      </c>
      <c r="M14" s="34">
        <f t="shared" si="5"/>
        <v>24.842975007867746</v>
      </c>
      <c r="N14" s="34">
        <f t="shared" ref="N14:Y24" si="6">$2:$2/($B:$B)^2</f>
        <v>25.907673936776366</v>
      </c>
      <c r="O14" s="34">
        <f t="shared" si="6"/>
        <v>26.972372865684985</v>
      </c>
      <c r="P14" s="34">
        <f t="shared" si="6"/>
        <v>28.037071794593601</v>
      </c>
      <c r="Q14" s="34">
        <f t="shared" si="6"/>
        <v>29.10177072350222</v>
      </c>
      <c r="R14" s="34">
        <f t="shared" si="6"/>
        <v>30.166469652410836</v>
      </c>
      <c r="S14" s="34">
        <f t="shared" si="6"/>
        <v>31.231168581319455</v>
      </c>
      <c r="T14" s="34">
        <f t="shared" si="6"/>
        <v>32.295867510228071</v>
      </c>
      <c r="U14" s="34">
        <f t="shared" si="6"/>
        <v>33.36056643913669</v>
      </c>
      <c r="V14" s="34">
        <f t="shared" si="6"/>
        <v>34.425265368045309</v>
      </c>
      <c r="W14" s="34">
        <f t="shared" si="6"/>
        <v>35.489964296953929</v>
      </c>
      <c r="X14" s="34">
        <f t="shared" si="6"/>
        <v>37.264462511801625</v>
      </c>
      <c r="Y14" s="35">
        <f t="shared" si="6"/>
        <v>39.038960726649321</v>
      </c>
    </row>
    <row r="15" spans="1:25" ht="20.100000000000001" customHeight="1" x14ac:dyDescent="0.4">
      <c r="A15" s="268"/>
      <c r="B15" s="36">
        <f t="shared" si="4"/>
        <v>1.7040000000000008</v>
      </c>
      <c r="C15" s="32" t="str">
        <f t="shared" si="1"/>
        <v>5'7</v>
      </c>
      <c r="D15" s="33">
        <f t="shared" si="5"/>
        <v>14.809120765280241</v>
      </c>
      <c r="E15" s="34">
        <f t="shared" si="5"/>
        <v>15.842315237276537</v>
      </c>
      <c r="F15" s="34">
        <f t="shared" si="5"/>
        <v>16.875509709272833</v>
      </c>
      <c r="G15" s="34">
        <f t="shared" si="5"/>
        <v>17.90870418126913</v>
      </c>
      <c r="H15" s="34">
        <f t="shared" si="5"/>
        <v>18.941898653265426</v>
      </c>
      <c r="I15" s="34">
        <f t="shared" si="5"/>
        <v>19.975093125261722</v>
      </c>
      <c r="J15" s="34">
        <f t="shared" si="5"/>
        <v>21.008287597258018</v>
      </c>
      <c r="K15" s="34">
        <f t="shared" si="5"/>
        <v>22.041482069254315</v>
      </c>
      <c r="L15" s="34">
        <f t="shared" si="5"/>
        <v>23.074676541250611</v>
      </c>
      <c r="M15" s="34">
        <f t="shared" si="5"/>
        <v>24.107871013246903</v>
      </c>
      <c r="N15" s="34">
        <f t="shared" si="6"/>
        <v>25.1410654852432</v>
      </c>
      <c r="O15" s="34">
        <f t="shared" si="6"/>
        <v>26.174259957239496</v>
      </c>
      <c r="P15" s="34">
        <f t="shared" si="6"/>
        <v>27.207454429235792</v>
      </c>
      <c r="Q15" s="34">
        <f t="shared" si="6"/>
        <v>28.240648901232088</v>
      </c>
      <c r="R15" s="34">
        <f t="shared" si="6"/>
        <v>29.273843373228384</v>
      </c>
      <c r="S15" s="34">
        <f t="shared" si="6"/>
        <v>30.307037845224681</v>
      </c>
      <c r="T15" s="34">
        <f t="shared" si="6"/>
        <v>31.340232317220977</v>
      </c>
      <c r="U15" s="34">
        <f t="shared" si="6"/>
        <v>32.37342678921727</v>
      </c>
      <c r="V15" s="34">
        <f t="shared" si="6"/>
        <v>33.406621261213566</v>
      </c>
      <c r="W15" s="34">
        <f t="shared" si="6"/>
        <v>34.439815733209862</v>
      </c>
      <c r="X15" s="34">
        <f t="shared" si="6"/>
        <v>36.16180651987036</v>
      </c>
      <c r="Y15" s="35">
        <f t="shared" si="6"/>
        <v>37.883797306530852</v>
      </c>
    </row>
    <row r="16" spans="1:25" ht="20.100000000000001" customHeight="1" x14ac:dyDescent="0.4">
      <c r="B16" s="36">
        <f t="shared" si="4"/>
        <v>1.7294000000000009</v>
      </c>
      <c r="C16" s="32" t="str">
        <f t="shared" si="1"/>
        <v>5'8</v>
      </c>
      <c r="D16" s="33">
        <f t="shared" si="5"/>
        <v>14.37730699772686</v>
      </c>
      <c r="E16" s="34">
        <f t="shared" si="5"/>
        <v>15.380374927800826</v>
      </c>
      <c r="F16" s="34">
        <f t="shared" si="5"/>
        <v>16.383442857874794</v>
      </c>
      <c r="G16" s="34">
        <f t="shared" si="5"/>
        <v>17.386510787948762</v>
      </c>
      <c r="H16" s="34">
        <f t="shared" si="5"/>
        <v>18.389578718022726</v>
      </c>
      <c r="I16" s="34">
        <f t="shared" si="5"/>
        <v>19.392646648096694</v>
      </c>
      <c r="J16" s="34">
        <f t="shared" si="5"/>
        <v>20.395714578170661</v>
      </c>
      <c r="K16" s="34">
        <f t="shared" si="5"/>
        <v>21.398782508244629</v>
      </c>
      <c r="L16" s="34">
        <f t="shared" si="5"/>
        <v>22.401850438318593</v>
      </c>
      <c r="M16" s="34">
        <f t="shared" si="5"/>
        <v>23.404918368392561</v>
      </c>
      <c r="N16" s="34">
        <f t="shared" si="6"/>
        <v>24.407986298466529</v>
      </c>
      <c r="O16" s="34">
        <f t="shared" si="6"/>
        <v>25.411054228540497</v>
      </c>
      <c r="P16" s="34">
        <f t="shared" si="6"/>
        <v>26.414122158614461</v>
      </c>
      <c r="Q16" s="34">
        <f t="shared" si="6"/>
        <v>27.417190088688429</v>
      </c>
      <c r="R16" s="34">
        <f t="shared" si="6"/>
        <v>28.420258018762397</v>
      </c>
      <c r="S16" s="34">
        <f t="shared" si="6"/>
        <v>29.423325948836364</v>
      </c>
      <c r="T16" s="34">
        <f t="shared" si="6"/>
        <v>30.426393878910332</v>
      </c>
      <c r="U16" s="34">
        <f t="shared" si="6"/>
        <v>31.429461808984296</v>
      </c>
      <c r="V16" s="34">
        <f t="shared" si="6"/>
        <v>32.432529739058268</v>
      </c>
      <c r="W16" s="34">
        <f t="shared" si="6"/>
        <v>33.435597669132228</v>
      </c>
      <c r="X16" s="34">
        <f t="shared" si="6"/>
        <v>35.107377552588844</v>
      </c>
      <c r="Y16" s="35">
        <f t="shared" si="6"/>
        <v>36.779157436045452</v>
      </c>
    </row>
    <row r="17" spans="2:25" ht="20.100000000000001" customHeight="1" x14ac:dyDescent="0.4">
      <c r="B17" s="36">
        <f t="shared" si="4"/>
        <v>1.754800000000001</v>
      </c>
      <c r="C17" s="32" t="str">
        <f t="shared" si="1"/>
        <v>5'9</v>
      </c>
      <c r="D17" s="33">
        <f t="shared" si="5"/>
        <v>13.964108163201983</v>
      </c>
      <c r="E17" s="34">
        <f t="shared" si="5"/>
        <v>14.938348267611424</v>
      </c>
      <c r="F17" s="34">
        <f t="shared" si="5"/>
        <v>15.912588372020865</v>
      </c>
      <c r="G17" s="34">
        <f t="shared" si="5"/>
        <v>16.886828476430306</v>
      </c>
      <c r="H17" s="34">
        <f t="shared" si="5"/>
        <v>17.861068580839746</v>
      </c>
      <c r="I17" s="34">
        <f t="shared" si="5"/>
        <v>18.835308685249188</v>
      </c>
      <c r="J17" s="34">
        <f t="shared" si="5"/>
        <v>19.809548789658628</v>
      </c>
      <c r="K17" s="34">
        <f t="shared" si="5"/>
        <v>20.783788894068067</v>
      </c>
      <c r="L17" s="34">
        <f t="shared" si="5"/>
        <v>21.75802899847751</v>
      </c>
      <c r="M17" s="34">
        <f t="shared" si="5"/>
        <v>22.732269102886949</v>
      </c>
      <c r="N17" s="34">
        <f t="shared" si="6"/>
        <v>23.706509207296389</v>
      </c>
      <c r="O17" s="34">
        <f t="shared" si="6"/>
        <v>24.680749311705831</v>
      </c>
      <c r="P17" s="34">
        <f t="shared" si="6"/>
        <v>25.654989416115271</v>
      </c>
      <c r="Q17" s="34">
        <f t="shared" si="6"/>
        <v>26.629229520524714</v>
      </c>
      <c r="R17" s="34">
        <f t="shared" si="6"/>
        <v>27.603469624934153</v>
      </c>
      <c r="S17" s="34">
        <f t="shared" si="6"/>
        <v>28.577709729343592</v>
      </c>
      <c r="T17" s="34">
        <f t="shared" si="6"/>
        <v>29.551949833753035</v>
      </c>
      <c r="U17" s="34">
        <f t="shared" si="6"/>
        <v>30.526189938162474</v>
      </c>
      <c r="V17" s="34">
        <f t="shared" si="6"/>
        <v>31.500430042571917</v>
      </c>
      <c r="W17" s="34">
        <f t="shared" si="6"/>
        <v>32.474670146981353</v>
      </c>
      <c r="X17" s="34">
        <f t="shared" si="6"/>
        <v>34.098403654330426</v>
      </c>
      <c r="Y17" s="35">
        <f t="shared" si="6"/>
        <v>35.722137161679491</v>
      </c>
    </row>
    <row r="18" spans="2:25" ht="20.100000000000001" customHeight="1" x14ac:dyDescent="0.4">
      <c r="B18" s="36">
        <f t="shared" si="4"/>
        <v>1.7802000000000011</v>
      </c>
      <c r="C18" s="32" t="str">
        <f t="shared" si="1"/>
        <v>5'10</v>
      </c>
      <c r="D18" s="33">
        <f t="shared" si="5"/>
        <v>13.568469482069794</v>
      </c>
      <c r="E18" s="34">
        <f t="shared" si="5"/>
        <v>14.515106887795593</v>
      </c>
      <c r="F18" s="34">
        <f t="shared" si="5"/>
        <v>15.461744293521393</v>
      </c>
      <c r="G18" s="34">
        <f t="shared" si="5"/>
        <v>16.408381699247194</v>
      </c>
      <c r="H18" s="34">
        <f t="shared" si="5"/>
        <v>17.355019104972992</v>
      </c>
      <c r="I18" s="34">
        <f t="shared" si="5"/>
        <v>18.301656510698791</v>
      </c>
      <c r="J18" s="34">
        <f t="shared" si="5"/>
        <v>19.24829391642459</v>
      </c>
      <c r="K18" s="34">
        <f t="shared" si="5"/>
        <v>20.194931322150392</v>
      </c>
      <c r="L18" s="34">
        <f t="shared" si="5"/>
        <v>21.141568727876191</v>
      </c>
      <c r="M18" s="34">
        <f t="shared" si="5"/>
        <v>22.088206133601989</v>
      </c>
      <c r="N18" s="34">
        <f t="shared" si="6"/>
        <v>23.034843539327788</v>
      </c>
      <c r="O18" s="34">
        <f t="shared" si="6"/>
        <v>23.98148094505359</v>
      </c>
      <c r="P18" s="34">
        <f t="shared" si="6"/>
        <v>24.928118350779389</v>
      </c>
      <c r="Q18" s="34">
        <f t="shared" si="6"/>
        <v>25.874755756505188</v>
      </c>
      <c r="R18" s="34">
        <f t="shared" si="6"/>
        <v>26.821393162230986</v>
      </c>
      <c r="S18" s="34">
        <f t="shared" si="6"/>
        <v>27.768030567956785</v>
      </c>
      <c r="T18" s="34">
        <f t="shared" si="6"/>
        <v>28.714667973682587</v>
      </c>
      <c r="U18" s="34">
        <f t="shared" si="6"/>
        <v>29.661305379408386</v>
      </c>
      <c r="V18" s="34">
        <f t="shared" si="6"/>
        <v>30.607942785134185</v>
      </c>
      <c r="W18" s="34">
        <f t="shared" si="6"/>
        <v>31.554580190859983</v>
      </c>
      <c r="X18" s="34">
        <f t="shared" si="6"/>
        <v>33.132309200402986</v>
      </c>
      <c r="Y18" s="35">
        <f t="shared" si="6"/>
        <v>34.710038209945985</v>
      </c>
    </row>
    <row r="19" spans="2:25" ht="20.100000000000001" customHeight="1" x14ac:dyDescent="0.4">
      <c r="B19" s="36">
        <f>B18+0.0254</f>
        <v>1.8056000000000012</v>
      </c>
      <c r="C19" s="32" t="str">
        <f t="shared" si="1"/>
        <v>5'11</v>
      </c>
      <c r="D19" s="33">
        <f t="shared" si="5"/>
        <v>13.189409838813861</v>
      </c>
      <c r="E19" s="34">
        <f t="shared" si="5"/>
        <v>14.109601222917155</v>
      </c>
      <c r="F19" s="34">
        <f t="shared" si="5"/>
        <v>15.029792607020447</v>
      </c>
      <c r="G19" s="34">
        <f t="shared" si="5"/>
        <v>15.949983991123739</v>
      </c>
      <c r="H19" s="34">
        <f t="shared" si="5"/>
        <v>16.870175375227031</v>
      </c>
      <c r="I19" s="34">
        <f t="shared" si="5"/>
        <v>17.790366759330325</v>
      </c>
      <c r="J19" s="34">
        <f t="shared" si="5"/>
        <v>18.710558143433616</v>
      </c>
      <c r="K19" s="34">
        <f t="shared" si="5"/>
        <v>19.63074952753691</v>
      </c>
      <c r="L19" s="34">
        <f t="shared" si="5"/>
        <v>20.550940911640204</v>
      </c>
      <c r="M19" s="34">
        <f t="shared" si="5"/>
        <v>21.471132295743494</v>
      </c>
      <c r="N19" s="34">
        <f t="shared" si="6"/>
        <v>22.391323679846789</v>
      </c>
      <c r="O19" s="34">
        <f t="shared" si="6"/>
        <v>23.311515063950079</v>
      </c>
      <c r="P19" s="34">
        <f t="shared" si="6"/>
        <v>24.231706448053373</v>
      </c>
      <c r="Q19" s="34">
        <f t="shared" si="6"/>
        <v>25.151897832156667</v>
      </c>
      <c r="R19" s="34">
        <f t="shared" si="6"/>
        <v>26.072089216259958</v>
      </c>
      <c r="S19" s="34">
        <f t="shared" si="6"/>
        <v>26.992280600363252</v>
      </c>
      <c r="T19" s="34">
        <f t="shared" si="6"/>
        <v>27.912471984466542</v>
      </c>
      <c r="U19" s="34">
        <f t="shared" si="6"/>
        <v>28.832663368569836</v>
      </c>
      <c r="V19" s="34">
        <f t="shared" si="6"/>
        <v>29.75285475267313</v>
      </c>
      <c r="W19" s="34">
        <f t="shared" si="6"/>
        <v>30.673046136776421</v>
      </c>
      <c r="X19" s="34">
        <f t="shared" si="6"/>
        <v>32.206698443615245</v>
      </c>
      <c r="Y19" s="35">
        <f t="shared" si="6"/>
        <v>33.740350750454063</v>
      </c>
    </row>
    <row r="20" spans="2:25" ht="20.100000000000001" customHeight="1" x14ac:dyDescent="0.4">
      <c r="B20" s="36">
        <f t="shared" si="4"/>
        <v>1.8310000000000013</v>
      </c>
      <c r="C20" s="32" t="str">
        <f t="shared" si="1"/>
        <v>6'0</v>
      </c>
      <c r="D20" s="33">
        <f t="shared" si="5"/>
        <v>12.826015693674162</v>
      </c>
      <c r="E20" s="34">
        <f t="shared" si="5"/>
        <v>13.720853997883987</v>
      </c>
      <c r="F20" s="34">
        <f t="shared" si="5"/>
        <v>14.615692302093812</v>
      </c>
      <c r="G20" s="34">
        <f t="shared" si="5"/>
        <v>15.510530606303638</v>
      </c>
      <c r="H20" s="34">
        <f t="shared" si="5"/>
        <v>16.405368910513463</v>
      </c>
      <c r="I20" s="34">
        <f t="shared" si="5"/>
        <v>17.300207214723287</v>
      </c>
      <c r="J20" s="34">
        <f t="shared" si="5"/>
        <v>18.195045518933114</v>
      </c>
      <c r="K20" s="34">
        <f t="shared" si="5"/>
        <v>19.089883823142937</v>
      </c>
      <c r="L20" s="34">
        <f t="shared" si="5"/>
        <v>19.984722127352764</v>
      </c>
      <c r="M20" s="34">
        <f t="shared" si="5"/>
        <v>20.879560431562588</v>
      </c>
      <c r="N20" s="34">
        <f t="shared" si="6"/>
        <v>21.774398735772415</v>
      </c>
      <c r="O20" s="34">
        <f t="shared" si="6"/>
        <v>22.669237039982239</v>
      </c>
      <c r="P20" s="34">
        <f t="shared" si="6"/>
        <v>23.564075344192066</v>
      </c>
      <c r="Q20" s="34">
        <f t="shared" si="6"/>
        <v>24.458913648401889</v>
      </c>
      <c r="R20" s="34">
        <f t="shared" si="6"/>
        <v>25.353751952611717</v>
      </c>
      <c r="S20" s="34">
        <f t="shared" si="6"/>
        <v>26.24859025682154</v>
      </c>
      <c r="T20" s="34">
        <f t="shared" si="6"/>
        <v>27.143428561031367</v>
      </c>
      <c r="U20" s="34">
        <f t="shared" si="6"/>
        <v>28.038266865241191</v>
      </c>
      <c r="V20" s="34">
        <f t="shared" si="6"/>
        <v>28.933105169451014</v>
      </c>
      <c r="W20" s="34">
        <f t="shared" si="6"/>
        <v>29.827943473660842</v>
      </c>
      <c r="X20" s="34">
        <f t="shared" si="6"/>
        <v>31.319340647343882</v>
      </c>
      <c r="Y20" s="35">
        <f t="shared" si="6"/>
        <v>32.810737821026926</v>
      </c>
    </row>
    <row r="21" spans="2:25" ht="20.100000000000001" customHeight="1" x14ac:dyDescent="0.4">
      <c r="B21" s="36">
        <f t="shared" si="4"/>
        <v>1.8564000000000014</v>
      </c>
      <c r="C21" s="32" t="str">
        <f t="shared" si="1"/>
        <v>6'1</v>
      </c>
      <c r="D21" s="33">
        <f t="shared" si="5"/>
        <v>12.477435573370762</v>
      </c>
      <c r="E21" s="34">
        <f t="shared" si="5"/>
        <v>13.347954334303605</v>
      </c>
      <c r="F21" s="34">
        <f t="shared" si="5"/>
        <v>14.218473095236449</v>
      </c>
      <c r="G21" s="34">
        <f t="shared" si="5"/>
        <v>15.088991856169294</v>
      </c>
      <c r="H21" s="34">
        <f t="shared" si="5"/>
        <v>15.959510617102136</v>
      </c>
      <c r="I21" s="34">
        <f t="shared" si="5"/>
        <v>16.830029378034979</v>
      </c>
      <c r="J21" s="34">
        <f t="shared" si="5"/>
        <v>17.700548138967825</v>
      </c>
      <c r="K21" s="34">
        <f t="shared" si="5"/>
        <v>18.571066899900668</v>
      </c>
      <c r="L21" s="34">
        <f t="shared" si="5"/>
        <v>19.44158566083351</v>
      </c>
      <c r="M21" s="34">
        <f t="shared" si="5"/>
        <v>20.312104421766357</v>
      </c>
      <c r="N21" s="34">
        <f t="shared" si="6"/>
        <v>21.182623182699199</v>
      </c>
      <c r="O21" s="34">
        <f t="shared" si="6"/>
        <v>22.053141943632042</v>
      </c>
      <c r="P21" s="34">
        <f t="shared" si="6"/>
        <v>22.923660704564888</v>
      </c>
      <c r="Q21" s="34">
        <f t="shared" si="6"/>
        <v>23.794179465497731</v>
      </c>
      <c r="R21" s="34">
        <f t="shared" si="6"/>
        <v>24.664698226430573</v>
      </c>
      <c r="S21" s="34">
        <f t="shared" si="6"/>
        <v>25.53521698736342</v>
      </c>
      <c r="T21" s="34">
        <f t="shared" si="6"/>
        <v>26.405735748296262</v>
      </c>
      <c r="U21" s="34">
        <f t="shared" si="6"/>
        <v>27.276254509229105</v>
      </c>
      <c r="V21" s="34">
        <f t="shared" si="6"/>
        <v>28.146773270161951</v>
      </c>
      <c r="W21" s="34">
        <f t="shared" si="6"/>
        <v>29.017292031094794</v>
      </c>
      <c r="X21" s="34">
        <f t="shared" si="6"/>
        <v>30.468156632649535</v>
      </c>
      <c r="Y21" s="35">
        <f t="shared" si="6"/>
        <v>31.919021234204273</v>
      </c>
    </row>
    <row r="22" spans="2:25" ht="20.100000000000001" customHeight="1" x14ac:dyDescent="0.4">
      <c r="B22" s="36">
        <f t="shared" si="4"/>
        <v>1.8818000000000015</v>
      </c>
      <c r="C22" s="32" t="str">
        <f t="shared" si="1"/>
        <v>6'2</v>
      </c>
      <c r="D22" s="33">
        <f t="shared" si="5"/>
        <v>12.142875078811477</v>
      </c>
      <c r="E22" s="34">
        <f t="shared" si="5"/>
        <v>12.990052409891346</v>
      </c>
      <c r="F22" s="34">
        <f t="shared" si="5"/>
        <v>13.837229740971217</v>
      </c>
      <c r="G22" s="34">
        <f t="shared" si="5"/>
        <v>14.684407072051087</v>
      </c>
      <c r="H22" s="34">
        <f t="shared" si="5"/>
        <v>15.531584403130958</v>
      </c>
      <c r="I22" s="34">
        <f t="shared" si="5"/>
        <v>16.37876173421083</v>
      </c>
      <c r="J22" s="34">
        <f t="shared" si="5"/>
        <v>17.225939065290699</v>
      </c>
      <c r="K22" s="34">
        <f t="shared" si="5"/>
        <v>18.073116396370569</v>
      </c>
      <c r="L22" s="34">
        <f t="shared" si="5"/>
        <v>18.920293727450439</v>
      </c>
      <c r="M22" s="34">
        <f t="shared" si="5"/>
        <v>19.767471058530312</v>
      </c>
      <c r="N22" s="34">
        <f t="shared" si="6"/>
        <v>20.614648389610181</v>
      </c>
      <c r="O22" s="34">
        <f t="shared" si="6"/>
        <v>21.461825720690051</v>
      </c>
      <c r="P22" s="34">
        <f t="shared" si="6"/>
        <v>22.30900305176992</v>
      </c>
      <c r="Q22" s="34">
        <f t="shared" si="6"/>
        <v>23.156180382849794</v>
      </c>
      <c r="R22" s="34">
        <f t="shared" si="6"/>
        <v>24.003357713929663</v>
      </c>
      <c r="S22" s="34">
        <f t="shared" si="6"/>
        <v>24.850535045009533</v>
      </c>
      <c r="T22" s="34">
        <f t="shared" si="6"/>
        <v>25.697712376089402</v>
      </c>
      <c r="U22" s="34">
        <f t="shared" si="6"/>
        <v>26.544889707169276</v>
      </c>
      <c r="V22" s="34">
        <f t="shared" si="6"/>
        <v>27.392067038249145</v>
      </c>
      <c r="W22" s="34">
        <f t="shared" si="6"/>
        <v>28.239244369329015</v>
      </c>
      <c r="X22" s="34">
        <f t="shared" si="6"/>
        <v>29.651206587795464</v>
      </c>
      <c r="Y22" s="35">
        <f t="shared" si="6"/>
        <v>31.063168806261917</v>
      </c>
    </row>
    <row r="23" spans="2:25" ht="20.100000000000001" customHeight="1" x14ac:dyDescent="0.4">
      <c r="B23" s="36">
        <f t="shared" si="4"/>
        <v>1.9072000000000016</v>
      </c>
      <c r="C23" s="32" t="str">
        <f t="shared" si="1"/>
        <v>6'3</v>
      </c>
      <c r="D23" s="33">
        <f t="shared" si="5"/>
        <v>11.821592355074076</v>
      </c>
      <c r="E23" s="34">
        <f t="shared" si="5"/>
        <v>12.646354612404826</v>
      </c>
      <c r="F23" s="34">
        <f t="shared" si="5"/>
        <v>13.471116869735575</v>
      </c>
      <c r="G23" s="34">
        <f t="shared" si="5"/>
        <v>14.295879127066325</v>
      </c>
      <c r="H23" s="34">
        <f t="shared" si="5"/>
        <v>15.120641384397073</v>
      </c>
      <c r="I23" s="34">
        <f t="shared" si="5"/>
        <v>15.945403641727824</v>
      </c>
      <c r="J23" s="34">
        <f t="shared" si="5"/>
        <v>16.770165899058572</v>
      </c>
      <c r="K23" s="34">
        <f t="shared" si="5"/>
        <v>17.594928156389322</v>
      </c>
      <c r="L23" s="34">
        <f t="shared" si="5"/>
        <v>18.419690413720073</v>
      </c>
      <c r="M23" s="34">
        <f t="shared" si="5"/>
        <v>19.244452671050819</v>
      </c>
      <c r="N23" s="34">
        <f t="shared" si="6"/>
        <v>20.06921492838157</v>
      </c>
      <c r="O23" s="34">
        <f t="shared" si="6"/>
        <v>20.89397718571232</v>
      </c>
      <c r="P23" s="34">
        <f t="shared" si="6"/>
        <v>21.71873944304307</v>
      </c>
      <c r="Q23" s="34">
        <f t="shared" si="6"/>
        <v>22.54350170037382</v>
      </c>
      <c r="R23" s="34">
        <f t="shared" si="6"/>
        <v>23.368263957704567</v>
      </c>
      <c r="S23" s="34">
        <f t="shared" si="6"/>
        <v>24.193026215035317</v>
      </c>
      <c r="T23" s="34">
        <f t="shared" si="6"/>
        <v>25.017788472366068</v>
      </c>
      <c r="U23" s="34">
        <f t="shared" si="6"/>
        <v>25.842550729696818</v>
      </c>
      <c r="V23" s="34">
        <f t="shared" si="6"/>
        <v>26.667312987027564</v>
      </c>
      <c r="W23" s="34">
        <f t="shared" si="6"/>
        <v>27.492075244358315</v>
      </c>
      <c r="X23" s="34">
        <f t="shared" si="6"/>
        <v>28.866679006576231</v>
      </c>
      <c r="Y23" s="35">
        <f t="shared" si="6"/>
        <v>30.241282768794147</v>
      </c>
    </row>
    <row r="24" spans="2:25" ht="20.100000000000001" customHeight="1" thickBot="1" x14ac:dyDescent="0.45">
      <c r="B24" s="37">
        <f t="shared" si="4"/>
        <v>1.9326000000000016</v>
      </c>
      <c r="C24" s="38" t="str">
        <f t="shared" si="1"/>
        <v>6'4</v>
      </c>
      <c r="D24" s="39">
        <f t="shared" si="5"/>
        <v>11.512893975381814</v>
      </c>
      <c r="E24" s="40">
        <f t="shared" si="5"/>
        <v>12.316119136454965</v>
      </c>
      <c r="F24" s="40">
        <f t="shared" si="5"/>
        <v>13.119344297528114</v>
      </c>
      <c r="G24" s="40">
        <f t="shared" si="5"/>
        <v>13.922569458601265</v>
      </c>
      <c r="H24" s="40">
        <f t="shared" si="5"/>
        <v>14.725794619674415</v>
      </c>
      <c r="I24" s="40">
        <f t="shared" si="5"/>
        <v>15.529019780747564</v>
      </c>
      <c r="J24" s="40">
        <f t="shared" si="5"/>
        <v>16.332244941820715</v>
      </c>
      <c r="K24" s="40">
        <f t="shared" si="5"/>
        <v>17.135470102893866</v>
      </c>
      <c r="L24" s="40">
        <f t="shared" si="5"/>
        <v>17.938695263967013</v>
      </c>
      <c r="M24" s="40">
        <f t="shared" si="5"/>
        <v>18.741920425040163</v>
      </c>
      <c r="N24" s="40">
        <f t="shared" si="6"/>
        <v>19.545145586113314</v>
      </c>
      <c r="O24" s="40">
        <f t="shared" si="6"/>
        <v>20.348370747186465</v>
      </c>
      <c r="P24" s="40">
        <f t="shared" si="6"/>
        <v>21.151595908259612</v>
      </c>
      <c r="Q24" s="40">
        <f t="shared" si="6"/>
        <v>21.954821069332763</v>
      </c>
      <c r="R24" s="40">
        <f t="shared" si="6"/>
        <v>22.758046230405913</v>
      </c>
      <c r="S24" s="40">
        <f t="shared" si="6"/>
        <v>23.561271391479064</v>
      </c>
      <c r="T24" s="40">
        <f t="shared" si="6"/>
        <v>24.364496552552215</v>
      </c>
      <c r="U24" s="40">
        <f t="shared" si="6"/>
        <v>25.167721713625362</v>
      </c>
      <c r="V24" s="40">
        <f t="shared" si="6"/>
        <v>25.970946874698512</v>
      </c>
      <c r="W24" s="40">
        <f t="shared" si="6"/>
        <v>26.774172035771663</v>
      </c>
      <c r="X24" s="40">
        <f t="shared" si="6"/>
        <v>28.112880637560245</v>
      </c>
      <c r="Y24" s="41">
        <f t="shared" si="6"/>
        <v>29.451589239348831</v>
      </c>
    </row>
    <row r="25" spans="2:25" ht="5.0999999999999996" customHeight="1" thickBot="1" x14ac:dyDescent="0.45">
      <c r="B25" s="42"/>
      <c r="C25" s="43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2:25" x14ac:dyDescent="0.4">
      <c r="B26" s="263">
        <v>1.75</v>
      </c>
      <c r="C26" s="264">
        <v>80.2</v>
      </c>
    </row>
    <row r="27" spans="2:25" ht="15.35" thickBot="1" x14ac:dyDescent="0.45">
      <c r="B27" s="269">
        <f>C26/B26^2</f>
        <v>26.187755102040818</v>
      </c>
      <c r="C27" s="270"/>
    </row>
  </sheetData>
  <sheetProtection algorithmName="SHA-512" hashValue="FINYytrsIb9ElBK/YcOQBFcppOg6oKZqeQvyWLxbZJoD/tRDp78OYNpVRySQXuWnHE1GhfjfMFd0q8xZLItjNg==" saltValue="jkyuL8u8YpBxPaUbmtr/7g==" spinCount="100000" sheet="1" objects="1" scenarios="1"/>
  <mergeCells count="3">
    <mergeCell ref="J1:O1"/>
    <mergeCell ref="A10:A15"/>
    <mergeCell ref="B27:C27"/>
  </mergeCells>
  <phoneticPr fontId="0" type="noConversion"/>
  <printOptions horizontalCentered="1" verticalCentered="1"/>
  <pageMargins left="0.74803149606299213" right="0.74803149606299213" top="0.68" bottom="0.59055118110236227" header="0.39370078740157483" footer="0.35433070866141736"/>
  <pageSetup paperSize="9" orientation="landscape" horizontalDpi="300" verticalDpi="360" r:id="rId1"/>
  <headerFooter alignWithMargins="0">
    <oddHeader>&amp;C&amp;20BMI</oddHeader>
    <oddFooter>&amp;L&amp;9&amp;D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K16"/>
  <sheetViews>
    <sheetView showGridLines="0" showRowColHeaders="0" zoomScale="150" zoomScaleNormal="150" workbookViewId="0">
      <selection activeCell="C2" sqref="C2"/>
    </sheetView>
  </sheetViews>
  <sheetFormatPr defaultRowHeight="12.7" x14ac:dyDescent="0.4"/>
  <cols>
    <col min="1" max="1" width="2.703125" customWidth="1"/>
    <col min="2" max="2" width="17.64453125" customWidth="1"/>
    <col min="3" max="3" width="14.703125" customWidth="1"/>
    <col min="4" max="4" width="10.64453125" customWidth="1"/>
    <col min="5" max="5" width="12.64453125" style="1" customWidth="1"/>
    <col min="6" max="6" width="14.703125" customWidth="1"/>
    <col min="7" max="7" width="15.64453125" customWidth="1"/>
    <col min="8" max="10" width="10.64453125" customWidth="1"/>
    <col min="11" max="11" width="11.703125" bestFit="1" customWidth="1"/>
  </cols>
  <sheetData>
    <row r="1" spans="2:11" ht="9.9499999999999993" customHeight="1" thickBot="1" x14ac:dyDescent="0.45"/>
    <row r="2" spans="2:11" ht="21.95" customHeight="1" thickBot="1" x14ac:dyDescent="0.45">
      <c r="B2" s="87" t="s">
        <v>56</v>
      </c>
      <c r="C2" s="104">
        <v>0.57999999999999996</v>
      </c>
      <c r="H2" s="191" t="s">
        <v>83</v>
      </c>
      <c r="I2" s="191" t="s">
        <v>86</v>
      </c>
    </row>
    <row r="3" spans="2:11" ht="21.95" customHeight="1" thickBot="1" x14ac:dyDescent="0.45">
      <c r="B3" s="89" t="s">
        <v>57</v>
      </c>
      <c r="C3" s="105">
        <v>0.996</v>
      </c>
      <c r="G3" s="203" t="s">
        <v>85</v>
      </c>
      <c r="H3" s="206">
        <v>32</v>
      </c>
      <c r="I3" s="207">
        <v>2</v>
      </c>
      <c r="J3" s="192">
        <f>SUM(H3:I3)</f>
        <v>34</v>
      </c>
      <c r="K3" s="196">
        <f>H3/J3</f>
        <v>0.94117647058823528</v>
      </c>
    </row>
    <row r="4" spans="2:11" ht="21.95" customHeight="1" thickBot="1" x14ac:dyDescent="0.45">
      <c r="B4" s="177"/>
      <c r="G4" s="203" t="s">
        <v>84</v>
      </c>
      <c r="H4" s="208">
        <v>1</v>
      </c>
      <c r="I4" s="209">
        <v>101</v>
      </c>
      <c r="J4" s="193">
        <f>SUM(H4:I4)</f>
        <v>102</v>
      </c>
      <c r="K4" s="197">
        <f>I4/J4</f>
        <v>0.99019607843137258</v>
      </c>
    </row>
    <row r="5" spans="2:11" ht="21.95" customHeight="1" thickBot="1" x14ac:dyDescent="0.45">
      <c r="B5" s="178" t="s">
        <v>59</v>
      </c>
      <c r="C5" s="179">
        <v>4.0000000000000001E-3</v>
      </c>
      <c r="H5" s="194">
        <f>SUM(H3:H4)</f>
        <v>33</v>
      </c>
      <c r="I5" s="195">
        <f>SUM(I3:I4)</f>
        <v>103</v>
      </c>
      <c r="J5" s="188">
        <f>SUM(J3:J4)</f>
        <v>136</v>
      </c>
      <c r="K5" s="187"/>
    </row>
    <row r="6" spans="2:11" ht="21.95" customHeight="1" x14ac:dyDescent="0.4">
      <c r="B6" s="87" t="s">
        <v>58</v>
      </c>
      <c r="C6" s="107">
        <f>($C$2*$C$5)/(($C$2*$C$5)+((1-$C$3)*(1-$C$5)))</f>
        <v>0.36802030456852775</v>
      </c>
      <c r="H6" s="204">
        <f>H3/H5</f>
        <v>0.96969696969696972</v>
      </c>
      <c r="I6" s="205">
        <f>I4/I5</f>
        <v>0.98058252427184467</v>
      </c>
      <c r="J6" s="198" t="s">
        <v>89</v>
      </c>
      <c r="K6" s="189">
        <f>H5/J5</f>
        <v>0.24264705882352941</v>
      </c>
    </row>
    <row r="7" spans="2:11" ht="21.95" customHeight="1" thickBot="1" x14ac:dyDescent="0.45">
      <c r="B7" s="89" t="s">
        <v>60</v>
      </c>
      <c r="C7" s="106">
        <f>($C$3*(1-$C$5))/(((1-$C$2)*$C$5)+($C$3*(1-$C$5)))</f>
        <v>0.9983093420925514</v>
      </c>
      <c r="J7" s="198" t="s">
        <v>87</v>
      </c>
      <c r="K7" s="190">
        <f>H6/(1-I6)</f>
        <v>49.939393939393966</v>
      </c>
    </row>
    <row r="8" spans="2:11" ht="15.95" customHeight="1" thickBot="1" x14ac:dyDescent="0.45">
      <c r="J8" s="198" t="s">
        <v>88</v>
      </c>
      <c r="K8" s="190">
        <f>(1-H6)/I6</f>
        <v>3.0903090309030875E-2</v>
      </c>
    </row>
    <row r="9" spans="2:11" ht="21.95" customHeight="1" thickBot="1" x14ac:dyDescent="0.45">
      <c r="B9" s="183" t="s">
        <v>61</v>
      </c>
      <c r="C9" s="180" t="s">
        <v>82</v>
      </c>
      <c r="F9" s="180" t="s">
        <v>82</v>
      </c>
      <c r="G9" s="180" t="s">
        <v>62</v>
      </c>
    </row>
    <row r="10" spans="2:11" ht="21.95" customHeight="1" x14ac:dyDescent="0.4">
      <c r="B10" s="181">
        <v>4.0000000000000001E-3</v>
      </c>
      <c r="C10" s="199">
        <f>$B10/(1-$B10)</f>
        <v>4.0160642570281129E-3</v>
      </c>
      <c r="D10" s="210" t="s">
        <v>87</v>
      </c>
      <c r="E10" s="212">
        <f>$C$2/(1-$C$3)</f>
        <v>144.99999999999986</v>
      </c>
      <c r="F10" s="201">
        <f>C10*E10</f>
        <v>0.58232931726907577</v>
      </c>
      <c r="G10" s="185">
        <f>1-(((1/$B$10)-1)/$E10)/(1+(((1/$B$10)-1)/$E10))</f>
        <v>0.36802030456852763</v>
      </c>
    </row>
    <row r="11" spans="2:11" ht="21.95" customHeight="1" thickBot="1" x14ac:dyDescent="0.45">
      <c r="B11" s="182">
        <f>B10</f>
        <v>4.0000000000000001E-3</v>
      </c>
      <c r="C11" s="200">
        <f>C10</f>
        <v>4.0160642570281129E-3</v>
      </c>
      <c r="D11" s="211" t="s">
        <v>88</v>
      </c>
      <c r="E11" s="213">
        <f>(1-$C$2)/$C$3</f>
        <v>0.42168674698795183</v>
      </c>
      <c r="F11" s="202">
        <f>C11*E11</f>
        <v>1.6935210722407706E-3</v>
      </c>
      <c r="G11" s="186">
        <f>1-(((1/$B$10)-1)/$E11)/(1+(((1/$B$10)-1)/$E11))</f>
        <v>1.6906579074486006E-3</v>
      </c>
    </row>
    <row r="13" spans="2:11" x14ac:dyDescent="0.4">
      <c r="B13" s="73" t="s">
        <v>90</v>
      </c>
    </row>
    <row r="16" spans="2:11" x14ac:dyDescent="0.4">
      <c r="F16" s="184"/>
    </row>
  </sheetData>
  <sheetProtection algorithmName="SHA-512" hashValue="VCFfVRel4fsP+T0K3I+jAlQ+/tjD3pLNrP5kjpqjc+9wH/W1qpMFX6nFcKTiE20oeLJ3rDKMNx2ZjSOeVhESGA==" saltValue="F7V/sQrTaJhLf98VhI2G5g==" spinCount="100000" sheet="1" objects="1" scenarios="1"/>
  <dataValidations count="2">
    <dataValidation type="decimal" operator="lessThanOrEqual" allowBlank="1" showInputMessage="1" showErrorMessage="1" sqref="C2" xr:uid="{00000000-0002-0000-0C00-000000000000}">
      <formula1>1</formula1>
    </dataValidation>
    <dataValidation type="decimal" operator="lessThanOrEqual" showInputMessage="1" showErrorMessage="1" sqref="C3:C5" xr:uid="{00000000-0002-0000-0C00-000001000000}">
      <formula1>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231C-02BF-413F-94DE-C91D3C0D3E1E}">
  <dimension ref="A1:I14"/>
  <sheetViews>
    <sheetView showGridLines="0" workbookViewId="0">
      <selection activeCell="A9" sqref="A9"/>
    </sheetView>
  </sheetViews>
  <sheetFormatPr defaultColWidth="8.87890625" defaultRowHeight="14.35" x14ac:dyDescent="0.5"/>
  <cols>
    <col min="1" max="1" width="15.52734375" style="232" customWidth="1"/>
    <col min="2" max="2" width="10.76171875" style="232" customWidth="1"/>
    <col min="3" max="5" width="14.703125" style="235" customWidth="1"/>
    <col min="6" max="6" width="28.87890625" style="235" customWidth="1"/>
    <col min="7" max="8" width="13.46875" style="232" customWidth="1"/>
    <col min="9" max="9" width="12.29296875" style="235" customWidth="1"/>
    <col min="10" max="16384" width="8.87890625" style="232"/>
  </cols>
  <sheetData>
    <row r="1" spans="1:9" ht="18.350000000000001" thickBot="1" x14ac:dyDescent="0.65">
      <c r="A1" s="247"/>
      <c r="B1" s="243" t="s">
        <v>107</v>
      </c>
      <c r="C1" s="241" t="s">
        <v>108</v>
      </c>
      <c r="D1" s="241" t="s">
        <v>109</v>
      </c>
      <c r="E1" s="241" t="s">
        <v>110</v>
      </c>
      <c r="F1" s="241" t="s">
        <v>100</v>
      </c>
      <c r="G1" s="241" t="s">
        <v>111</v>
      </c>
      <c r="H1" s="241" t="s">
        <v>113</v>
      </c>
      <c r="I1" s="242" t="s">
        <v>37</v>
      </c>
    </row>
    <row r="2" spans="1:9" ht="18" x14ac:dyDescent="0.6">
      <c r="A2" s="248" t="s">
        <v>101</v>
      </c>
      <c r="B2" s="244">
        <v>308</v>
      </c>
      <c r="C2" s="239">
        <v>154</v>
      </c>
      <c r="D2" s="239">
        <v>154</v>
      </c>
      <c r="E2" s="239">
        <v>0</v>
      </c>
      <c r="F2" s="239">
        <v>0</v>
      </c>
      <c r="G2" s="239">
        <v>0</v>
      </c>
      <c r="H2" s="239">
        <v>0</v>
      </c>
      <c r="I2" s="240">
        <v>0</v>
      </c>
    </row>
    <row r="3" spans="1:9" ht="18" x14ac:dyDescent="0.6">
      <c r="A3" s="249" t="s">
        <v>102</v>
      </c>
      <c r="B3" s="245">
        <v>924</v>
      </c>
      <c r="C3" s="231">
        <v>462</v>
      </c>
      <c r="D3" s="231">
        <v>462</v>
      </c>
      <c r="E3" s="231">
        <v>0</v>
      </c>
      <c r="F3" s="231">
        <v>0</v>
      </c>
      <c r="G3" s="231">
        <v>0</v>
      </c>
      <c r="H3" s="231">
        <v>0</v>
      </c>
      <c r="I3" s="236">
        <v>0</v>
      </c>
    </row>
    <row r="4" spans="1:9" ht="18" x14ac:dyDescent="0.6">
      <c r="A4" s="249" t="s">
        <v>103</v>
      </c>
      <c r="B4" s="245">
        <v>278</v>
      </c>
      <c r="C4" s="231">
        <v>131</v>
      </c>
      <c r="D4" s="231">
        <v>111</v>
      </c>
      <c r="E4" s="231">
        <v>5</v>
      </c>
      <c r="F4" s="231">
        <v>29</v>
      </c>
      <c r="G4" s="231">
        <v>2</v>
      </c>
      <c r="H4" s="231">
        <v>0</v>
      </c>
      <c r="I4" s="236">
        <v>0</v>
      </c>
    </row>
    <row r="5" spans="1:9" ht="18" x14ac:dyDescent="0.6">
      <c r="A5" s="249" t="s">
        <v>104</v>
      </c>
      <c r="B5" s="245">
        <v>2000</v>
      </c>
      <c r="C5" s="231">
        <v>1000</v>
      </c>
      <c r="D5" s="231">
        <v>0</v>
      </c>
      <c r="E5" s="231">
        <v>0</v>
      </c>
      <c r="F5" s="231">
        <v>1000</v>
      </c>
      <c r="G5" s="231">
        <v>0</v>
      </c>
      <c r="H5" s="231">
        <v>0</v>
      </c>
      <c r="I5" s="236">
        <v>0</v>
      </c>
    </row>
    <row r="6" spans="1:9" ht="18" x14ac:dyDescent="0.6">
      <c r="A6" s="249" t="s">
        <v>105</v>
      </c>
      <c r="B6" s="245">
        <v>1000</v>
      </c>
      <c r="C6" s="231">
        <v>500</v>
      </c>
      <c r="D6" s="231">
        <v>0</v>
      </c>
      <c r="E6" s="231">
        <v>0</v>
      </c>
      <c r="F6" s="231">
        <v>500</v>
      </c>
      <c r="G6" s="231">
        <v>0</v>
      </c>
      <c r="H6" s="231">
        <v>0</v>
      </c>
      <c r="I6" s="236">
        <v>0</v>
      </c>
    </row>
    <row r="7" spans="1:9" ht="18" x14ac:dyDescent="0.6">
      <c r="A7" s="249" t="s">
        <v>106</v>
      </c>
      <c r="B7" s="245">
        <v>300</v>
      </c>
      <c r="C7" s="231">
        <v>150</v>
      </c>
      <c r="D7" s="231">
        <v>0</v>
      </c>
      <c r="E7" s="231">
        <v>0</v>
      </c>
      <c r="F7" s="231">
        <v>150</v>
      </c>
      <c r="G7" s="231">
        <v>0</v>
      </c>
      <c r="H7" s="231">
        <v>0</v>
      </c>
      <c r="I7" s="236">
        <v>0</v>
      </c>
    </row>
    <row r="8" spans="1:9" ht="18.350000000000001" thickBot="1" x14ac:dyDescent="0.65">
      <c r="A8" s="250" t="s">
        <v>112</v>
      </c>
      <c r="B8" s="246">
        <v>402</v>
      </c>
      <c r="C8" s="237">
        <v>40</v>
      </c>
      <c r="D8" s="237">
        <v>40</v>
      </c>
      <c r="E8" s="237">
        <v>40</v>
      </c>
      <c r="F8" s="237">
        <v>23</v>
      </c>
      <c r="G8" s="237">
        <v>0</v>
      </c>
      <c r="H8" s="237">
        <v>1.5</v>
      </c>
      <c r="I8" s="238">
        <v>0.05</v>
      </c>
    </row>
    <row r="9" spans="1:9" ht="18" x14ac:dyDescent="0.6">
      <c r="A9" s="233"/>
      <c r="B9" s="233"/>
      <c r="C9" s="233"/>
      <c r="D9" s="233"/>
      <c r="E9" s="233"/>
      <c r="F9" s="233"/>
      <c r="G9" s="233"/>
      <c r="H9" s="233"/>
    </row>
    <row r="10" spans="1:9" ht="18" x14ac:dyDescent="0.6">
      <c r="A10" s="234"/>
      <c r="C10" s="233"/>
      <c r="D10" s="233"/>
      <c r="E10" s="233"/>
      <c r="F10" s="233"/>
    </row>
    <row r="11" spans="1:9" ht="18" x14ac:dyDescent="0.6">
      <c r="A11" s="234"/>
      <c r="C11" s="233"/>
      <c r="D11" s="233"/>
      <c r="E11" s="233"/>
      <c r="F11" s="233"/>
    </row>
    <row r="12" spans="1:9" ht="18" x14ac:dyDescent="0.6">
      <c r="A12" s="234"/>
      <c r="C12" s="233"/>
      <c r="D12" s="233"/>
      <c r="E12" s="233"/>
      <c r="F12" s="233"/>
    </row>
    <row r="13" spans="1:9" ht="18" x14ac:dyDescent="0.6">
      <c r="A13" s="234"/>
      <c r="C13" s="233"/>
      <c r="D13" s="233"/>
      <c r="E13" s="233"/>
      <c r="F13" s="233"/>
    </row>
    <row r="14" spans="1:9" ht="18" x14ac:dyDescent="0.6">
      <c r="A14" s="234"/>
      <c r="C14" s="233"/>
      <c r="D14" s="233"/>
      <c r="E14" s="233"/>
      <c r="F14" s="233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8"/>
  <sheetViews>
    <sheetView showGridLines="0" showRowColHeaders="0" zoomScale="120" zoomScaleNormal="120" workbookViewId="0">
      <selection activeCell="G21" sqref="G21"/>
    </sheetView>
  </sheetViews>
  <sheetFormatPr defaultColWidth="9.17578125" defaultRowHeight="12.7" x14ac:dyDescent="0.4"/>
  <cols>
    <col min="1" max="1" width="2.8203125" style="17" customWidth="1"/>
    <col min="2" max="2" width="14.703125" style="17" customWidth="1"/>
    <col min="3" max="3" width="15.64453125" style="17" customWidth="1"/>
    <col min="4" max="5" width="14" style="17" customWidth="1"/>
    <col min="6" max="6" width="9.703125" style="17" customWidth="1"/>
    <col min="7" max="7" width="8.76171875" style="17" customWidth="1"/>
    <col min="8" max="8" width="13.3515625" style="17" customWidth="1"/>
    <col min="9" max="9" width="8.76171875" style="17" customWidth="1"/>
    <col min="10" max="10" width="7.29296875" style="17" customWidth="1"/>
    <col min="11" max="11" width="2.41015625" style="17" customWidth="1"/>
    <col min="12" max="12" width="9.17578125" style="17"/>
    <col min="13" max="13" width="16.05859375" style="17" customWidth="1"/>
    <col min="14" max="16384" width="9.17578125" style="17"/>
  </cols>
  <sheetData>
    <row r="1" spans="2:5" ht="5.0999999999999996" customHeight="1" thickBot="1" x14ac:dyDescent="0.45"/>
    <row r="2" spans="2:5" s="18" customFormat="1" ht="15.95" customHeight="1" thickBot="1" x14ac:dyDescent="0.45">
      <c r="B2" s="99" t="s">
        <v>29</v>
      </c>
      <c r="C2" s="158" t="s">
        <v>75</v>
      </c>
      <c r="D2" s="158" t="s">
        <v>72</v>
      </c>
      <c r="E2" s="159" t="s">
        <v>73</v>
      </c>
    </row>
    <row r="3" spans="2:5" s="19" customFormat="1" ht="15.95" customHeight="1" x14ac:dyDescent="0.4">
      <c r="B3" s="155">
        <v>0.2</v>
      </c>
      <c r="C3" s="161">
        <f t="shared" ref="C3:C19" si="0">13.4*$B3</f>
        <v>2.68</v>
      </c>
      <c r="D3" s="162">
        <f>26.7*$B3</f>
        <v>5.34</v>
      </c>
      <c r="E3" s="98">
        <f>40*$B3</f>
        <v>8</v>
      </c>
    </row>
    <row r="4" spans="2:5" s="19" customFormat="1" ht="15.95" customHeight="1" x14ac:dyDescent="0.4">
      <c r="B4" s="156">
        <v>0.25</v>
      </c>
      <c r="C4" s="163">
        <f t="shared" si="0"/>
        <v>3.35</v>
      </c>
      <c r="D4" s="160">
        <f t="shared" ref="D4:D19" si="1">26.7*$B4</f>
        <v>6.6749999999999998</v>
      </c>
      <c r="E4" s="164">
        <f t="shared" ref="E4:E19" si="2">40*$B4</f>
        <v>10</v>
      </c>
    </row>
    <row r="5" spans="2:5" s="19" customFormat="1" ht="15.95" customHeight="1" x14ac:dyDescent="0.4">
      <c r="B5" s="156">
        <v>0.3</v>
      </c>
      <c r="C5" s="163">
        <f t="shared" si="0"/>
        <v>4.0199999999999996</v>
      </c>
      <c r="D5" s="160">
        <f t="shared" si="1"/>
        <v>8.01</v>
      </c>
      <c r="E5" s="164">
        <f t="shared" si="2"/>
        <v>12</v>
      </c>
    </row>
    <row r="6" spans="2:5" s="19" customFormat="1" ht="15.95" customHeight="1" x14ac:dyDescent="0.4">
      <c r="B6" s="156">
        <v>0.35</v>
      </c>
      <c r="C6" s="163">
        <f t="shared" si="0"/>
        <v>4.6899999999999995</v>
      </c>
      <c r="D6" s="160">
        <f t="shared" si="1"/>
        <v>9.3449999999999989</v>
      </c>
      <c r="E6" s="164">
        <f t="shared" si="2"/>
        <v>14</v>
      </c>
    </row>
    <row r="7" spans="2:5" s="19" customFormat="1" ht="15.95" customHeight="1" x14ac:dyDescent="0.4">
      <c r="B7" s="156">
        <v>0.4</v>
      </c>
      <c r="C7" s="163">
        <f t="shared" si="0"/>
        <v>5.36</v>
      </c>
      <c r="D7" s="160">
        <f t="shared" si="1"/>
        <v>10.68</v>
      </c>
      <c r="E7" s="164">
        <f t="shared" si="2"/>
        <v>16</v>
      </c>
    </row>
    <row r="8" spans="2:5" s="19" customFormat="1" ht="15.95" customHeight="1" x14ac:dyDescent="0.4">
      <c r="B8" s="156">
        <v>0.45</v>
      </c>
      <c r="C8" s="163">
        <f t="shared" si="0"/>
        <v>6.03</v>
      </c>
      <c r="D8" s="160">
        <f t="shared" si="1"/>
        <v>12.015000000000001</v>
      </c>
      <c r="E8" s="164">
        <f t="shared" si="2"/>
        <v>18</v>
      </c>
    </row>
    <row r="9" spans="2:5" s="19" customFormat="1" ht="15.95" customHeight="1" x14ac:dyDescent="0.4">
      <c r="B9" s="156">
        <v>0.5</v>
      </c>
      <c r="C9" s="163">
        <f t="shared" si="0"/>
        <v>6.7</v>
      </c>
      <c r="D9" s="160">
        <f t="shared" si="1"/>
        <v>13.35</v>
      </c>
      <c r="E9" s="164">
        <f t="shared" si="2"/>
        <v>20</v>
      </c>
    </row>
    <row r="10" spans="2:5" s="19" customFormat="1" ht="15.95" customHeight="1" x14ac:dyDescent="0.4">
      <c r="B10" s="156">
        <v>0.55000000000000004</v>
      </c>
      <c r="C10" s="163">
        <f t="shared" si="0"/>
        <v>7.370000000000001</v>
      </c>
      <c r="D10" s="160">
        <f t="shared" si="1"/>
        <v>14.685</v>
      </c>
      <c r="E10" s="164">
        <f t="shared" si="2"/>
        <v>22</v>
      </c>
    </row>
    <row r="11" spans="2:5" s="19" customFormat="1" ht="15.95" customHeight="1" x14ac:dyDescent="0.4">
      <c r="B11" s="156">
        <v>0.6</v>
      </c>
      <c r="C11" s="163">
        <f t="shared" si="0"/>
        <v>8.0399999999999991</v>
      </c>
      <c r="D11" s="160">
        <f t="shared" si="1"/>
        <v>16.02</v>
      </c>
      <c r="E11" s="164">
        <f t="shared" si="2"/>
        <v>24</v>
      </c>
    </row>
    <row r="12" spans="2:5" s="19" customFormat="1" ht="15.95" customHeight="1" x14ac:dyDescent="0.4">
      <c r="B12" s="156">
        <v>0.65</v>
      </c>
      <c r="C12" s="163">
        <f t="shared" si="0"/>
        <v>8.7100000000000009</v>
      </c>
      <c r="D12" s="160">
        <f t="shared" si="1"/>
        <v>17.355</v>
      </c>
      <c r="E12" s="164">
        <f t="shared" si="2"/>
        <v>26</v>
      </c>
    </row>
    <row r="13" spans="2:5" s="19" customFormat="1" ht="15.95" customHeight="1" x14ac:dyDescent="0.4">
      <c r="B13" s="156">
        <v>0.7</v>
      </c>
      <c r="C13" s="163">
        <f t="shared" si="0"/>
        <v>9.379999999999999</v>
      </c>
      <c r="D13" s="160">
        <f t="shared" si="1"/>
        <v>18.689999999999998</v>
      </c>
      <c r="E13" s="164">
        <f t="shared" si="2"/>
        <v>28</v>
      </c>
    </row>
    <row r="14" spans="2:5" s="19" customFormat="1" ht="15.95" customHeight="1" x14ac:dyDescent="0.4">
      <c r="B14" s="156">
        <v>0.75</v>
      </c>
      <c r="C14" s="163">
        <f t="shared" si="0"/>
        <v>10.050000000000001</v>
      </c>
      <c r="D14" s="160">
        <f t="shared" si="1"/>
        <v>20.024999999999999</v>
      </c>
      <c r="E14" s="164">
        <f t="shared" si="2"/>
        <v>30</v>
      </c>
    </row>
    <row r="15" spans="2:5" s="19" customFormat="1" ht="15.95" customHeight="1" x14ac:dyDescent="0.4">
      <c r="B15" s="156">
        <v>0.8</v>
      </c>
      <c r="C15" s="163">
        <f t="shared" si="0"/>
        <v>10.72</v>
      </c>
      <c r="D15" s="160">
        <f t="shared" si="1"/>
        <v>21.36</v>
      </c>
      <c r="E15" s="164">
        <f t="shared" si="2"/>
        <v>32</v>
      </c>
    </row>
    <row r="16" spans="2:5" s="19" customFormat="1" ht="15.95" customHeight="1" x14ac:dyDescent="0.4">
      <c r="B16" s="156">
        <v>0.85</v>
      </c>
      <c r="C16" s="163">
        <f t="shared" si="0"/>
        <v>11.39</v>
      </c>
      <c r="D16" s="160">
        <f t="shared" si="1"/>
        <v>22.695</v>
      </c>
      <c r="E16" s="164">
        <f t="shared" si="2"/>
        <v>34</v>
      </c>
    </row>
    <row r="17" spans="2:13" s="19" customFormat="1" ht="15.95" customHeight="1" x14ac:dyDescent="0.4">
      <c r="B17" s="156">
        <v>0.9</v>
      </c>
      <c r="C17" s="163">
        <f t="shared" si="0"/>
        <v>12.06</v>
      </c>
      <c r="D17" s="160">
        <f t="shared" si="1"/>
        <v>24.03</v>
      </c>
      <c r="E17" s="164">
        <f t="shared" si="2"/>
        <v>36</v>
      </c>
    </row>
    <row r="18" spans="2:13" s="19" customFormat="1" ht="15.95" customHeight="1" x14ac:dyDescent="0.4">
      <c r="B18" s="156">
        <v>0.95</v>
      </c>
      <c r="C18" s="163">
        <f t="shared" si="0"/>
        <v>12.73</v>
      </c>
      <c r="D18" s="160">
        <f t="shared" si="1"/>
        <v>25.364999999999998</v>
      </c>
      <c r="E18" s="164">
        <f t="shared" si="2"/>
        <v>38</v>
      </c>
    </row>
    <row r="19" spans="2:13" s="19" customFormat="1" ht="15.95" customHeight="1" thickBot="1" x14ac:dyDescent="0.45">
      <c r="B19" s="157">
        <v>1</v>
      </c>
      <c r="C19" s="165">
        <f t="shared" si="0"/>
        <v>13.4</v>
      </c>
      <c r="D19" s="166">
        <f t="shared" si="1"/>
        <v>26.7</v>
      </c>
      <c r="E19" s="167">
        <f t="shared" si="2"/>
        <v>40</v>
      </c>
    </row>
    <row r="20" spans="2:13" ht="5.0999999999999996" customHeight="1" x14ac:dyDescent="0.4"/>
    <row r="21" spans="2:13" ht="14.1" customHeight="1" x14ac:dyDescent="0.55000000000000004">
      <c r="B21" s="103" t="s">
        <v>54</v>
      </c>
      <c r="C21" s="101" t="s">
        <v>55</v>
      </c>
      <c r="F21" s="17" t="s">
        <v>49</v>
      </c>
      <c r="G21" s="96">
        <v>5</v>
      </c>
      <c r="H21" s="94"/>
      <c r="I21" s="214" t="s">
        <v>92</v>
      </c>
      <c r="J21" s="218">
        <v>0.8</v>
      </c>
      <c r="L21" s="49" t="s">
        <v>91</v>
      </c>
      <c r="M21"/>
    </row>
    <row r="22" spans="2:13" ht="5.0999999999999996" customHeight="1" x14ac:dyDescent="0.4">
      <c r="B22" s="103"/>
      <c r="H22" s="94"/>
      <c r="I22" s="215"/>
    </row>
    <row r="23" spans="2:13" ht="14.1" customHeight="1" x14ac:dyDescent="0.55000000000000004">
      <c r="B23" s="103" t="s">
        <v>69</v>
      </c>
      <c r="C23" s="101" t="s">
        <v>48</v>
      </c>
      <c r="F23" s="17" t="s">
        <v>50</v>
      </c>
      <c r="G23" s="95">
        <v>0.6</v>
      </c>
      <c r="I23" s="214" t="s">
        <v>93</v>
      </c>
      <c r="J23" s="219">
        <v>35</v>
      </c>
    </row>
    <row r="24" spans="2:13" ht="5.0999999999999996" customHeight="1" x14ac:dyDescent="0.4">
      <c r="B24" s="103"/>
      <c r="I24" s="215"/>
      <c r="J24" s="216"/>
    </row>
    <row r="25" spans="2:13" ht="14.1" customHeight="1" x14ac:dyDescent="0.55000000000000004">
      <c r="B25" s="103" t="s">
        <v>70</v>
      </c>
      <c r="C25" s="101" t="s">
        <v>53</v>
      </c>
      <c r="F25" s="17" t="s">
        <v>51</v>
      </c>
      <c r="G25" s="100">
        <f>G21/G23</f>
        <v>8.3333333333333339</v>
      </c>
      <c r="H25" s="102">
        <f>G21/G23*7.5001</f>
        <v>62.500833333333333</v>
      </c>
      <c r="I25" s="214" t="s">
        <v>94</v>
      </c>
      <c r="J25" s="217">
        <f>(J21/G23*100)/J23</f>
        <v>3.8095238095238098</v>
      </c>
      <c r="L25" s="73"/>
    </row>
    <row r="26" spans="2:13" ht="5.0999999999999996" customHeight="1" x14ac:dyDescent="0.4">
      <c r="B26" s="103"/>
      <c r="I26" s="215"/>
      <c r="J26" s="216"/>
    </row>
    <row r="27" spans="2:13" ht="15.95" customHeight="1" x14ac:dyDescent="0.55000000000000004">
      <c r="B27" s="103" t="s">
        <v>71</v>
      </c>
      <c r="C27" s="101" t="s">
        <v>74</v>
      </c>
      <c r="F27" s="17" t="s">
        <v>95</v>
      </c>
      <c r="G27" s="217">
        <f>J21/G23*100</f>
        <v>133.33333333333334</v>
      </c>
      <c r="I27" s="214"/>
      <c r="J27" s="73"/>
      <c r="L27" s="73"/>
    </row>
    <row r="28" spans="2:13" ht="15.95" customHeight="1" x14ac:dyDescent="0.4">
      <c r="B28" s="131" t="s">
        <v>97</v>
      </c>
      <c r="C28" s="220" t="s">
        <v>96</v>
      </c>
    </row>
  </sheetData>
  <sheetProtection algorithmName="SHA-512" hashValue="jzLVl3esOAiN0Kl4/7A2B7jbu8a+Qq4zzSkdsWDdwbiqmXuO+1UJvfOSV1Z2GjBdz5m3pHrmGnnB55z/1zxbNA==" saltValue="AXLm08Xr/CVYmUcyr2OrNA==" spinCount="100000" sheet="1" objects="1" scenarios="1"/>
  <phoneticPr fontId="0" type="noConversion"/>
  <hyperlinks>
    <hyperlink ref="C28" r:id="rId1" xr:uid="{7E3F039E-1756-4BBD-B73A-6E2A96F9CBEF}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8"/>
  <sheetViews>
    <sheetView showGridLines="0" showRowColHeaders="0" zoomScale="150" zoomScaleNormal="150" workbookViewId="0">
      <selection activeCell="C2" sqref="C2"/>
    </sheetView>
  </sheetViews>
  <sheetFormatPr defaultRowHeight="12.7" x14ac:dyDescent="0.4"/>
  <cols>
    <col min="1" max="1" width="2.703125" customWidth="1"/>
    <col min="2" max="2" width="35.05859375" customWidth="1"/>
    <col min="3" max="3" width="23.17578125" customWidth="1"/>
  </cols>
  <sheetData>
    <row r="1" spans="2:3" ht="9.9499999999999993" customHeight="1" thickBot="1" x14ac:dyDescent="0.45"/>
    <row r="2" spans="2:3" ht="25.5" customHeight="1" x14ac:dyDescent="0.4">
      <c r="B2" s="8" t="s">
        <v>24</v>
      </c>
      <c r="C2" s="52">
        <v>42740</v>
      </c>
    </row>
    <row r="3" spans="2:3" ht="25.5" customHeight="1" x14ac:dyDescent="0.4">
      <c r="B3" s="15">
        <f ca="1">TODAY()-$C$2</f>
        <v>2355</v>
      </c>
      <c r="C3" s="58" t="str">
        <f ca="1">INT(B3/7)&amp;" weeks "&amp;INT(MOD(B3,7))&amp;" day"&amp;IF(MOD(B3,7)&lt;&gt;1,"s","")</f>
        <v>336 weeks 3 days</v>
      </c>
    </row>
    <row r="4" spans="2:3" ht="25.5" customHeight="1" thickBot="1" x14ac:dyDescent="0.45">
      <c r="B4" s="16" t="s">
        <v>25</v>
      </c>
      <c r="C4" s="59">
        <f>C2+280</f>
        <v>43020</v>
      </c>
    </row>
    <row r="8" spans="2:3" x14ac:dyDescent="0.4">
      <c r="B8" s="47" t="s">
        <v>31</v>
      </c>
    </row>
  </sheetData>
  <sheetProtection password="8DD1" sheet="1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6"/>
  <sheetViews>
    <sheetView showGridLines="0" showRowColHeaders="0" zoomScaleNormal="100" workbookViewId="0">
      <selection activeCell="B3" sqref="B3"/>
    </sheetView>
  </sheetViews>
  <sheetFormatPr defaultRowHeight="12.7" x14ac:dyDescent="0.4"/>
  <cols>
    <col min="1" max="1" width="2.703125" customWidth="1"/>
    <col min="2" max="4" width="14" customWidth="1"/>
  </cols>
  <sheetData>
    <row r="1" spans="2:5" ht="13" thickBot="1" x14ac:dyDescent="0.45"/>
    <row r="2" spans="2:5" ht="25.5" customHeight="1" thickTop="1" x14ac:dyDescent="0.4">
      <c r="B2" s="2" t="s">
        <v>2</v>
      </c>
      <c r="C2" s="3" t="s">
        <v>0</v>
      </c>
      <c r="D2" s="4" t="s">
        <v>1</v>
      </c>
    </row>
    <row r="3" spans="2:5" ht="25.5" customHeight="1" thickBot="1" x14ac:dyDescent="0.45">
      <c r="B3" s="53">
        <v>3</v>
      </c>
      <c r="C3" s="54">
        <v>2</v>
      </c>
      <c r="D3" s="55">
        <v>2</v>
      </c>
      <c r="E3" s="1"/>
    </row>
    <row r="4" spans="2:5" ht="25.5" customHeight="1" thickTop="1" thickBot="1" x14ac:dyDescent="0.45"/>
    <row r="5" spans="2:5" ht="27.75" customHeight="1" thickTop="1" thickBot="1" x14ac:dyDescent="0.45">
      <c r="C5" s="60">
        <f>(4.2+4.7*(B3+C3+D3))/100</f>
        <v>0.371</v>
      </c>
    </row>
    <row r="6" spans="2:5" ht="13" thickTop="1" x14ac:dyDescent="0.4"/>
    <row r="8" spans="2:5" x14ac:dyDescent="0.4">
      <c r="B8" s="5" t="s">
        <v>52</v>
      </c>
    </row>
    <row r="9" spans="2:5" x14ac:dyDescent="0.4">
      <c r="B9" s="6"/>
    </row>
    <row r="16" spans="2:5" x14ac:dyDescent="0.4">
      <c r="B16" s="48" t="s">
        <v>31</v>
      </c>
    </row>
  </sheetData>
  <sheetProtection password="8DD1" sheet="1" selectLockedCells="1"/>
  <phoneticPr fontId="0" type="noConversion"/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3"/>
  <sheetViews>
    <sheetView showGridLines="0" showRowColHeaders="0" zoomScale="150" zoomScaleNormal="150" workbookViewId="0">
      <selection activeCell="B3" sqref="B3"/>
    </sheetView>
  </sheetViews>
  <sheetFormatPr defaultRowHeight="12.7" x14ac:dyDescent="0.4"/>
  <cols>
    <col min="1" max="1" width="2.703125" customWidth="1"/>
    <col min="2" max="3" width="15.1171875" customWidth="1"/>
    <col min="4" max="4" width="12.52734375" customWidth="1"/>
    <col min="5" max="5" width="17.64453125" customWidth="1"/>
  </cols>
  <sheetData>
    <row r="1" spans="2:5" ht="9.9499999999999993" customHeight="1" thickBot="1" x14ac:dyDescent="0.45"/>
    <row r="2" spans="2:5" ht="17.350000000000001" x14ac:dyDescent="0.4">
      <c r="B2" s="8" t="s">
        <v>5</v>
      </c>
      <c r="C2" s="7" t="s">
        <v>4</v>
      </c>
      <c r="D2" s="44"/>
      <c r="E2" s="45" t="s">
        <v>3</v>
      </c>
    </row>
    <row r="3" spans="2:5" ht="17.7" thickBot="1" x14ac:dyDescent="0.45">
      <c r="B3" s="56">
        <v>2.8</v>
      </c>
      <c r="C3" s="57">
        <v>10</v>
      </c>
      <c r="D3" s="46"/>
      <c r="E3" s="61">
        <f>ATAN(B3/C3)*180/PI()</f>
        <v>15.642246457208728</v>
      </c>
    </row>
  </sheetData>
  <sheetProtection password="8DD1" sheet="1"/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4"/>
  <sheetViews>
    <sheetView showGridLines="0" showRowColHeaders="0" zoomScale="150" zoomScaleNormal="150" workbookViewId="0">
      <selection activeCell="C2" sqref="C2"/>
    </sheetView>
  </sheetViews>
  <sheetFormatPr defaultRowHeight="12.7" x14ac:dyDescent="0.4"/>
  <cols>
    <col min="1" max="1" width="2.703125" customWidth="1"/>
    <col min="2" max="2" width="28.703125" customWidth="1"/>
    <col min="3" max="3" width="16.703125" customWidth="1"/>
  </cols>
  <sheetData>
    <row r="1" spans="2:3" ht="9.9499999999999993" customHeight="1" thickBot="1" x14ac:dyDescent="0.45">
      <c r="B1" s="9"/>
    </row>
    <row r="2" spans="2:3" ht="21.95" customHeight="1" x14ac:dyDescent="0.4">
      <c r="B2" s="87" t="s">
        <v>6</v>
      </c>
      <c r="C2" s="74">
        <v>175</v>
      </c>
    </row>
    <row r="3" spans="2:3" ht="21.95" customHeight="1" x14ac:dyDescent="0.4">
      <c r="B3" s="88" t="s">
        <v>7</v>
      </c>
      <c r="C3" s="75">
        <v>80</v>
      </c>
    </row>
    <row r="4" spans="2:3" ht="21.95" customHeight="1" thickBot="1" x14ac:dyDescent="0.45">
      <c r="B4" s="89" t="s">
        <v>8</v>
      </c>
      <c r="C4" s="76">
        <f>(C2*C3/3600)^0.5</f>
        <v>1.9720265943665387</v>
      </c>
    </row>
  </sheetData>
  <sheetProtection password="8DD1" sheet="1"/>
  <phoneticPr fontId="0" type="noConversion"/>
  <pageMargins left="1.1499999999999999" right="0.75" top="0.84" bottom="1" header="0.5" footer="0.5"/>
  <pageSetup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5"/>
  <sheetViews>
    <sheetView showGridLines="0" showRowColHeaders="0" zoomScale="150" zoomScaleNormal="150" workbookViewId="0">
      <selection activeCell="C2" sqref="C2"/>
    </sheetView>
  </sheetViews>
  <sheetFormatPr defaultRowHeight="12.7" x14ac:dyDescent="0.4"/>
  <cols>
    <col min="1" max="1" width="2.703125" customWidth="1"/>
    <col min="2" max="2" width="28.703125" customWidth="1"/>
    <col min="3" max="3" width="16.703125" customWidth="1"/>
  </cols>
  <sheetData>
    <row r="1" spans="2:3" ht="9.9499999999999993" customHeight="1" thickBot="1" x14ac:dyDescent="0.45"/>
    <row r="2" spans="2:3" ht="21.95" customHeight="1" x14ac:dyDescent="0.4">
      <c r="B2" s="87" t="s">
        <v>30</v>
      </c>
      <c r="C2" s="77">
        <v>12</v>
      </c>
    </row>
    <row r="3" spans="2:3" ht="21.95" customHeight="1" x14ac:dyDescent="0.4">
      <c r="B3" s="88" t="s">
        <v>9</v>
      </c>
      <c r="C3" s="97">
        <f>C2/2</f>
        <v>6</v>
      </c>
    </row>
    <row r="4" spans="2:3" ht="21.95" customHeight="1" thickBot="1" x14ac:dyDescent="0.45">
      <c r="B4" s="90" t="s">
        <v>10</v>
      </c>
      <c r="C4" s="78">
        <f>PI()*(C3^3)*4/3</f>
        <v>904.77868423386042</v>
      </c>
    </row>
    <row r="5" spans="2:3" ht="25.5" customHeight="1" x14ac:dyDescent="0.4"/>
  </sheetData>
  <sheetProtection password="8DD1" sheet="1"/>
  <phoneticPr fontId="0" type="noConversion"/>
  <dataValidations count="2">
    <dataValidation type="decimal" operator="greaterThanOrEqual" showInputMessage="1" showErrorMessage="1" sqref="C3" xr:uid="{00000000-0002-0000-0600-000000000000}">
      <formula1>1</formula1>
    </dataValidation>
    <dataValidation type="decimal" operator="greaterThanOrEqual" allowBlank="1" showInputMessage="1" showErrorMessage="1" sqref="C2" xr:uid="{00000000-0002-0000-0600-000001000000}">
      <formula1>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9"/>
  <sheetViews>
    <sheetView showGridLines="0" showRowColHeaders="0" zoomScale="150" zoomScaleNormal="150" workbookViewId="0">
      <selection activeCell="D3" sqref="D3"/>
    </sheetView>
  </sheetViews>
  <sheetFormatPr defaultRowHeight="12.7" x14ac:dyDescent="0.4"/>
  <cols>
    <col min="1" max="1" width="2.703125" customWidth="1"/>
    <col min="2" max="5" width="14.703125" customWidth="1"/>
  </cols>
  <sheetData>
    <row r="1" spans="2:7" ht="9.9499999999999993" customHeight="1" thickBot="1" x14ac:dyDescent="0.45"/>
    <row r="2" spans="2:7" ht="17.7" thickTop="1" x14ac:dyDescent="0.4">
      <c r="B2" s="10" t="s">
        <v>11</v>
      </c>
      <c r="C2" s="11" t="s">
        <v>12</v>
      </c>
      <c r="D2" s="11" t="s">
        <v>13</v>
      </c>
      <c r="E2" s="12" t="s">
        <v>14</v>
      </c>
    </row>
    <row r="3" spans="2:7" ht="17.7" thickBot="1" x14ac:dyDescent="0.45">
      <c r="B3" s="62">
        <v>8</v>
      </c>
      <c r="C3" s="63">
        <v>400</v>
      </c>
      <c r="D3" s="64">
        <v>4</v>
      </c>
      <c r="E3" s="65">
        <f>C3/2^(B3/D3)</f>
        <v>100</v>
      </c>
      <c r="F3" s="13"/>
      <c r="G3" s="13"/>
    </row>
    <row r="4" spans="2:7" ht="13" thickTop="1" x14ac:dyDescent="0.4">
      <c r="B4" s="13"/>
      <c r="E4" s="13"/>
      <c r="F4" s="13"/>
      <c r="G4" s="13"/>
    </row>
    <row r="5" spans="2:7" x14ac:dyDescent="0.4">
      <c r="B5" s="13"/>
      <c r="E5" s="13"/>
      <c r="F5" s="13"/>
      <c r="G5" s="13"/>
    </row>
    <row r="6" spans="2:7" x14ac:dyDescent="0.4">
      <c r="B6" s="13"/>
      <c r="E6" s="13"/>
      <c r="F6" s="13"/>
      <c r="G6" s="13"/>
    </row>
    <row r="7" spans="2:7" x14ac:dyDescent="0.4">
      <c r="B7" s="13"/>
      <c r="E7" s="13"/>
      <c r="F7" s="13"/>
      <c r="G7" s="13"/>
    </row>
    <row r="8" spans="2:7" x14ac:dyDescent="0.4">
      <c r="B8" s="13"/>
      <c r="E8" s="13"/>
      <c r="F8" s="13"/>
      <c r="G8" s="13"/>
    </row>
    <row r="9" spans="2:7" x14ac:dyDescent="0.4">
      <c r="B9" s="13"/>
      <c r="E9" s="13"/>
      <c r="F9" s="13"/>
      <c r="G9" s="13"/>
    </row>
  </sheetData>
  <sheetProtection password="8DD1" sheet="1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14"/>
  <sheetViews>
    <sheetView showGridLines="0" showRowColHeaders="0" zoomScale="150" zoomScaleNormal="150" workbookViewId="0">
      <selection activeCell="C3" sqref="C3"/>
    </sheetView>
  </sheetViews>
  <sheetFormatPr defaultColWidth="9.17578125" defaultRowHeight="16.350000000000001" x14ac:dyDescent="0.4"/>
  <cols>
    <col min="1" max="1" width="2.703125" style="14" customWidth="1"/>
    <col min="2" max="5" width="18.76171875" style="14" customWidth="1"/>
    <col min="6" max="16384" width="9.17578125" style="14"/>
  </cols>
  <sheetData>
    <row r="1" spans="2:5" ht="9.9499999999999993" customHeight="1" thickBot="1" x14ac:dyDescent="0.45"/>
    <row r="2" spans="2:5" ht="16.7" thickBot="1" x14ac:dyDescent="0.45">
      <c r="B2" s="110" t="s">
        <v>15</v>
      </c>
      <c r="C2" s="111" t="s">
        <v>64</v>
      </c>
      <c r="D2" s="112" t="s">
        <v>16</v>
      </c>
      <c r="E2" s="113" t="s">
        <v>17</v>
      </c>
    </row>
    <row r="3" spans="2:5" x14ac:dyDescent="0.4">
      <c r="B3" s="114" t="s">
        <v>18</v>
      </c>
      <c r="C3" s="91">
        <v>8</v>
      </c>
      <c r="D3" s="115">
        <f>C3</f>
        <v>8</v>
      </c>
      <c r="E3" s="116">
        <v>0</v>
      </c>
    </row>
    <row r="4" spans="2:5" x14ac:dyDescent="0.4">
      <c r="B4" s="117" t="s">
        <v>19</v>
      </c>
      <c r="C4" s="92">
        <v>15</v>
      </c>
      <c r="D4" s="118">
        <f>$C4*COS(60*PI()/180)</f>
        <v>7.5000000000000018</v>
      </c>
      <c r="E4" s="119">
        <f>$C4*SIN(60*PI()/180)</f>
        <v>12.990381056766578</v>
      </c>
    </row>
    <row r="5" spans="2:5" x14ac:dyDescent="0.4">
      <c r="B5" s="117" t="s">
        <v>20</v>
      </c>
      <c r="C5" s="92">
        <v>0</v>
      </c>
      <c r="D5" s="118">
        <f>$C5*COS(120*PI()/180)</f>
        <v>0</v>
      </c>
      <c r="E5" s="119">
        <f>$C5*SIN(120*PI()/180)</f>
        <v>0</v>
      </c>
    </row>
    <row r="6" spans="2:5" x14ac:dyDescent="0.4">
      <c r="B6" s="117" t="s">
        <v>21</v>
      </c>
      <c r="C6" s="92">
        <v>-8</v>
      </c>
      <c r="D6" s="118">
        <f>$C6*COS(210*PI()/180)</f>
        <v>6.9282032302755088</v>
      </c>
      <c r="E6" s="119">
        <f>$C6*SIN(210*PI()/180)</f>
        <v>4.0000000000000009</v>
      </c>
    </row>
    <row r="7" spans="2:5" x14ac:dyDescent="0.4">
      <c r="B7" s="117" t="s">
        <v>22</v>
      </c>
      <c r="C7" s="92">
        <v>0</v>
      </c>
      <c r="D7" s="118">
        <f>$C7*COS(-30*PI()/180)</f>
        <v>0</v>
      </c>
      <c r="E7" s="119">
        <f>$C7*SIN(-30*PI()/180)</f>
        <v>0</v>
      </c>
    </row>
    <row r="8" spans="2:5" ht="16.7" thickBot="1" x14ac:dyDescent="0.45">
      <c r="B8" s="120" t="s">
        <v>23</v>
      </c>
      <c r="C8" s="93">
        <v>8</v>
      </c>
      <c r="D8" s="121">
        <f>$C8*COS(90*PI()/180)</f>
        <v>4.90059381963448E-16</v>
      </c>
      <c r="E8" s="122">
        <f>$C8*SIN(90*PI()/180)</f>
        <v>8</v>
      </c>
    </row>
    <row r="9" spans="2:5" ht="16.7" thickBot="1" x14ac:dyDescent="0.45">
      <c r="D9" s="123">
        <f>SUM(D3:D8)</f>
        <v>22.428203230275511</v>
      </c>
      <c r="E9" s="124">
        <f>SUM(E3:E8)</f>
        <v>24.99038105676658</v>
      </c>
    </row>
    <row r="10" spans="2:5" ht="16.7" thickBot="1" x14ac:dyDescent="0.45">
      <c r="D10" s="125"/>
      <c r="E10" s="125"/>
    </row>
    <row r="11" spans="2:5" ht="16.7" thickBot="1" x14ac:dyDescent="0.45">
      <c r="B11" s="126" t="s">
        <v>63</v>
      </c>
      <c r="C11" s="108">
        <v>90</v>
      </c>
      <c r="D11" s="125" t="s">
        <v>65</v>
      </c>
      <c r="E11" s="127">
        <f>ATAN($E$9/$D$9)*180/PI()</f>
        <v>48.092866662769396</v>
      </c>
    </row>
    <row r="12" spans="2:5" x14ac:dyDescent="0.4">
      <c r="B12" s="128" t="s">
        <v>66</v>
      </c>
      <c r="C12" s="109">
        <v>420</v>
      </c>
    </row>
    <row r="13" spans="2:5" ht="16.7" thickBot="1" x14ac:dyDescent="0.45">
      <c r="B13" s="129" t="s">
        <v>67</v>
      </c>
      <c r="C13" s="130">
        <f>C12/((60/C11)^0.5)</f>
        <v>514.39284598446739</v>
      </c>
    </row>
    <row r="14" spans="2:5" x14ac:dyDescent="0.3">
      <c r="E14" s="131" t="s">
        <v>31</v>
      </c>
    </row>
  </sheetData>
  <sheetProtection password="8DD1" sheet="1" objects="1" scenarios="1"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pH Chart</vt:lpstr>
      <vt:lpstr>ARDS</vt:lpstr>
      <vt:lpstr>Gestation</vt:lpstr>
      <vt:lpstr>Pneomothorax</vt:lpstr>
      <vt:lpstr>Angle</vt:lpstr>
      <vt:lpstr>BSA</vt:lpstr>
      <vt:lpstr>Sphere volume</vt:lpstr>
      <vt:lpstr>Half life</vt:lpstr>
      <vt:lpstr>ECG</vt:lpstr>
      <vt:lpstr>Biochem conversion</vt:lpstr>
      <vt:lpstr>PEFR</vt:lpstr>
      <vt:lpstr>BMI</vt:lpstr>
      <vt:lpstr>PPV</vt:lpstr>
      <vt:lpstr>Fluids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Pearson</dc:creator>
  <cp:lastModifiedBy>Richard Pearson</cp:lastModifiedBy>
  <cp:lastPrinted>2004-04-21T13:58:50Z</cp:lastPrinted>
  <dcterms:created xsi:type="dcterms:W3CDTF">2003-06-18T20:43:17Z</dcterms:created>
  <dcterms:modified xsi:type="dcterms:W3CDTF">2023-06-18T14:45:32Z</dcterms:modified>
</cp:coreProperties>
</file>